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75" windowWidth="19155" windowHeight="7455" firstSheet="7" activeTab="9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sz.beruházási kiadások" sheetId="5" r:id="rId5"/>
    <sheet name="5.sz. Fizetendő hozzájárulás" sheetId="6" r:id="rId6"/>
    <sheet name="6. sz. Likviditási terv" sheetId="7" r:id="rId7"/>
    <sheet name="7.sz. Társulás ktgv. feladaton" sheetId="8" r:id="rId8"/>
    <sheet name="8. Intézményi költségvetések" sheetId="9" r:id="rId9"/>
    <sheet name="9. Közfoglalk. létszám ei" sheetId="10" r:id="rId10"/>
  </sheets>
  <externalReferences>
    <externalReference r:id="rId13"/>
    <externalReference r:id="rId14"/>
    <externalReference r:id="rId15"/>
  </externalReferences>
  <definedNames>
    <definedName name="gg">'[1]kod'!$BT$34:$BT$3184</definedName>
    <definedName name="kk">'[1]kod'!$BT$34:$BT$3184</definedName>
    <definedName name="_xlnm.Print_Area" localSheetId="0">'1.sz.Bevételi források'!$A$1:$I$50</definedName>
    <definedName name="_xlnm.Print_Area" localSheetId="6">'6. sz. Likviditási terv'!$A$1:$N$61</definedName>
    <definedName name="onev">'[2]kod'!$BT$34:$BT$3184</definedName>
  </definedNames>
  <calcPr fullCalcOnLoad="1"/>
</workbook>
</file>

<file path=xl/comments9.xml><?xml version="1.0" encoding="utf-8"?>
<comments xmlns="http://schemas.openxmlformats.org/spreadsheetml/2006/main">
  <authors>
    <author>HP</author>
  </authors>
  <commentList>
    <comment ref="D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  <comment ref="H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</commentList>
</comments>
</file>

<file path=xl/sharedStrings.xml><?xml version="1.0" encoding="utf-8"?>
<sst xmlns="http://schemas.openxmlformats.org/spreadsheetml/2006/main" count="634" uniqueCount="277">
  <si>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</si>
  <si>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</si>
  <si>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</si>
  <si>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</si>
  <si>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</si>
  <si>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</si>
  <si>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</si>
  <si>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</si>
  <si>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</si>
  <si>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</si>
  <si>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</si>
  <si>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</si>
  <si>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</si>
  <si>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</si>
  <si>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</si>
  <si>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</si>
  <si>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</si>
  <si>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</si>
  <si>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</si>
  <si>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</si>
  <si>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</si>
  <si>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</si>
  <si>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</si>
  <si>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</si>
  <si>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</si>
  <si>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</si>
  <si>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</si>
  <si>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</si>
  <si>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</si>
  <si>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</si>
  <si>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</si>
  <si>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</si>
  <si>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</si>
  <si>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</si>
  <si>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</si>
  <si>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</si>
  <si>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</si>
  <si>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</si>
  <si>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</si>
  <si>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</si>
  <si>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</si>
  <si>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</si>
  <si>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</si>
  <si>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</si>
  <si>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</si>
  <si>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Megnevezés</t>
  </si>
  <si>
    <t>Belső ellenőrzés</t>
  </si>
  <si>
    <t>Bevételek</t>
  </si>
  <si>
    <t>Kiadások</t>
  </si>
  <si>
    <t>Működési bevételek</t>
  </si>
  <si>
    <t>Működési célú pénzeszközátvétel</t>
  </si>
  <si>
    <t>Intézményfinanszírozás</t>
  </si>
  <si>
    <t>Felhalmozási célú pénzeszközátvétel</t>
  </si>
  <si>
    <t>Pénzmaradvány</t>
  </si>
  <si>
    <t>Személyi juttatások</t>
  </si>
  <si>
    <t>Munkaadókat terhelő járulék</t>
  </si>
  <si>
    <t>Dologi kiadások</t>
  </si>
  <si>
    <t>Működési célú pénzeszközátadás</t>
  </si>
  <si>
    <t>Felhalmozási célú pénzeszközátadás</t>
  </si>
  <si>
    <t>Támogatásértékű felhalmozási célú pénzeszközátadás</t>
  </si>
  <si>
    <t>Támogatásértékű működési célú pénzeszközátadás</t>
  </si>
  <si>
    <t>Beruházás</t>
  </si>
  <si>
    <t>Felújítás</t>
  </si>
  <si>
    <t>Kiadások mindösszesen:</t>
  </si>
  <si>
    <t>Egyenleg:</t>
  </si>
  <si>
    <t>Ellátottak pénzbeli juttatása</t>
  </si>
  <si>
    <t>Orvosi ügyelet</t>
  </si>
  <si>
    <t>Függő bevételek összesen:</t>
  </si>
  <si>
    <t>Függő kiadások összesen:</t>
  </si>
  <si>
    <t>Felhalmozási kiadások összesen:</t>
  </si>
  <si>
    <t>Felhalmozási költségvetés hiánya:</t>
  </si>
  <si>
    <t>Felhalmozási költségvetés többlete:</t>
  </si>
  <si>
    <t>Közfoglalkoztatási programok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</si>
  <si>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</si>
  <si>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</si>
  <si>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</si>
  <si>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</si>
  <si>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</si>
  <si>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</si>
  <si>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</si>
  <si>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</si>
  <si>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</si>
  <si>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</si>
  <si>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</si>
  <si>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</si>
  <si>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</si>
  <si>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</si>
  <si>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</si>
  <si>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</si>
  <si>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</si>
  <si>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</si>
  <si>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</si>
  <si>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</si>
  <si>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</si>
  <si>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</si>
  <si>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</si>
  <si>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</si>
  <si>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</si>
  <si>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</si>
  <si>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</si>
  <si>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</si>
  <si>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</si>
  <si>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</si>
  <si>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</si>
  <si>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</si>
  <si>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</si>
  <si>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</si>
  <si>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</si>
  <si>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</si>
  <si>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</si>
  <si>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</si>
  <si>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</si>
  <si>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</si>
  <si>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</si>
  <si>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</si>
  <si>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</si>
  <si>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</si>
  <si>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</si>
  <si>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</si>
  <si>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</si>
  <si>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</si>
  <si>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</si>
  <si>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</si>
  <si>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Működési célú támogatás államháztartáson belülről</t>
  </si>
  <si>
    <t>Közhatalmi bevételek</t>
  </si>
  <si>
    <t>Felhalmozási célú támogatás államháztartáson belülről</t>
  </si>
  <si>
    <t>Felhalmozási bevétel</t>
  </si>
  <si>
    <t>7. melléklet: Likviditási terv</t>
  </si>
  <si>
    <t>8. melléklet: Többcélú Kistérségi Társulás költségvetése feladatonként</t>
  </si>
  <si>
    <t>Általános igazgatás</t>
  </si>
  <si>
    <t>9. melléklet: intézmények költségvetése kiemelt előirányzatonként</t>
  </si>
  <si>
    <t>Intézmény- finanszírozás Szeszk</t>
  </si>
  <si>
    <t>Telephely, működési engedély, telekalakítás</t>
  </si>
  <si>
    <t>Önként vállalt feladat</t>
  </si>
  <si>
    <t>Kötelező feladat</t>
  </si>
  <si>
    <t>Állam- igazgatási feladat</t>
  </si>
  <si>
    <t xml:space="preserve">       1.4.3 Intézményfinanszírozás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</si>
  <si>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</si>
  <si>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</si>
  <si>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</si>
  <si>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</si>
  <si>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</si>
  <si>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</si>
  <si>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</si>
  <si>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</si>
  <si>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Marcali Szociális és Egészségügyi Szolgáltató Központ költségvetése kiemelt előirányzatonként</t>
  </si>
  <si>
    <t>Marcali Óvodai Központ költségvetése kiemelt előirányzatonként</t>
  </si>
  <si>
    <t>Fogászat</t>
  </si>
  <si>
    <t>Intézmény- finanszírozás Óvodai Központ</t>
  </si>
  <si>
    <t>Céltartalék</t>
  </si>
  <si>
    <t>S</t>
  </si>
  <si>
    <t>F e l a d a t</t>
  </si>
  <si>
    <t>Forrás megnevezése</t>
  </si>
  <si>
    <t>sz.</t>
  </si>
  <si>
    <t>1.</t>
  </si>
  <si>
    <t>2.</t>
  </si>
  <si>
    <t xml:space="preserve">            Összesen:</t>
  </si>
  <si>
    <t>Marcali Szociális és Egészségügyi Szolgáltató Központ</t>
  </si>
  <si>
    <t>Bruttó költség /e Ft eredeti előirányzat</t>
  </si>
  <si>
    <t>Saját forrás /e Ft eredeti előirányzat</t>
  </si>
  <si>
    <t>Külső forrás /e Ft eredeti előirányzat</t>
  </si>
  <si>
    <t>3.</t>
  </si>
  <si>
    <t>Marcali Óvodai Központ</t>
  </si>
  <si>
    <t>Társulás költségvetése</t>
  </si>
  <si>
    <t>5. sz. melléklet: Felhalmozási kiadások programonként</t>
  </si>
  <si>
    <t>Marcali Kistérségi Többcélú Társulás</t>
  </si>
  <si>
    <t>4.</t>
  </si>
  <si>
    <t>Bruttó költség /e Ft módosított előirányzat</t>
  </si>
  <si>
    <t>Saját forrás /e Ft módosított előirányzat</t>
  </si>
  <si>
    <t>Külső forrás /e Ft módosított előirányzat</t>
  </si>
  <si>
    <t>Közfoglalkoztatási programok eszközbeszerzése</t>
  </si>
  <si>
    <t>fő</t>
  </si>
  <si>
    <t>Program neve</t>
  </si>
  <si>
    <t>Teljes munkaidő eredeti előirányzat</t>
  </si>
  <si>
    <t>Részmunkaidő eredeti előirányzat</t>
  </si>
  <si>
    <t>Létszám összesen eredeti előirányzat</t>
  </si>
  <si>
    <t>5.</t>
  </si>
  <si>
    <t>6.</t>
  </si>
  <si>
    <t xml:space="preserve">      Összesen:</t>
  </si>
  <si>
    <t>egész évre vetítve</t>
  </si>
  <si>
    <t>Tényleges létszámok időpont meghatározással</t>
  </si>
  <si>
    <t>7.</t>
  </si>
  <si>
    <t>8.</t>
  </si>
  <si>
    <t>Marcali Szociális és Egészségügyi Központ</t>
  </si>
  <si>
    <t>11. sz. melléklet Közfoglalkoztatotti létszám</t>
  </si>
  <si>
    <t>Teljes munkaidő módosított előirányzat</t>
  </si>
  <si>
    <t>Részmunkaidő módosított előirányzat</t>
  </si>
  <si>
    <t>Létszám összesen módosított előirányzat</t>
  </si>
  <si>
    <t>9.</t>
  </si>
  <si>
    <t>10.</t>
  </si>
  <si>
    <t>11.</t>
  </si>
  <si>
    <t xml:space="preserve">Hosszabb idejű közfoglalkoztatás </t>
  </si>
  <si>
    <t>Nemzeti Foglalkoztatási Alap</t>
  </si>
  <si>
    <t>Többcélú Kistérségi Társulás                 2019. évi eredeti előirányzat</t>
  </si>
  <si>
    <t>Szociális és Egészségügyi Szolgáltató Központ 2019. évi eredeti előirányzat</t>
  </si>
  <si>
    <t>Óvodai Központ 2019. évi eredeti előirányzat</t>
  </si>
  <si>
    <t>Összesen 2019. évi eredeti előirányzat</t>
  </si>
  <si>
    <t>2019. évi eredeti előirányzat</t>
  </si>
  <si>
    <t>2019. évi módosított előirányzat</t>
  </si>
  <si>
    <t>Szociális és Egészségügyi Szolgáltató Központ 2019. évi módosított előirányzat</t>
  </si>
  <si>
    <t>Óvodai Központ 2019. évi módosított előirányzat</t>
  </si>
  <si>
    <t>6. melléklet: Települések által fizetendő hozzájárulás</t>
  </si>
  <si>
    <t>2019. évi előirányzat</t>
  </si>
  <si>
    <t>Orvosi ügyelet 2018. évi hátralék</t>
  </si>
  <si>
    <t>Család és Gyermekjóléti Központ</t>
  </si>
  <si>
    <t>Házi segítségnyújtás</t>
  </si>
  <si>
    <t>SZESZK egyéb feladatok</t>
  </si>
  <si>
    <t>Szeszk 2018. évi hátralék</t>
  </si>
  <si>
    <t>SZESZK</t>
  </si>
  <si>
    <t>Belső ellenőrzés 2018. évi hátralék</t>
  </si>
  <si>
    <t>Óvodai nevelés 2018. évi hátralék</t>
  </si>
  <si>
    <t>Óvodai nevelés</t>
  </si>
  <si>
    <t>Óvodai normatíva átadás, bérkompenzáció</t>
  </si>
  <si>
    <t>Óvoda összesen</t>
  </si>
  <si>
    <t>Konyhai feladat ellátás 2018. évi hátralék</t>
  </si>
  <si>
    <t>Konyhai feladat ellátás normatíva átadás, bérkompenzáció</t>
  </si>
  <si>
    <t>Konyhai feladat ellátás</t>
  </si>
  <si>
    <t>Vagyonbiztosítás</t>
  </si>
  <si>
    <t>Hatósági Igazgatás</t>
  </si>
  <si>
    <t>Hatósági Igazgatás 2018. évi hátralék</t>
  </si>
  <si>
    <t>Közfoglalkoztatás önrész</t>
  </si>
  <si>
    <t>Településnév</t>
  </si>
  <si>
    <t>2018. évi hátralék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</si>
  <si>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</si>
  <si>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</si>
  <si>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</si>
  <si>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</si>
  <si>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</si>
  <si>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</si>
  <si>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</si>
  <si>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</si>
  <si>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</si>
  <si>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</si>
  <si>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</si>
  <si>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</si>
  <si>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</si>
  <si>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</si>
  <si>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</si>
  <si>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</si>
  <si>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</si>
  <si>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</si>
  <si>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</si>
  <si>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</si>
  <si>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</si>
  <si>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</si>
  <si>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</si>
  <si>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</si>
  <si>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</si>
  <si>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</si>
  <si>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</si>
  <si>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</si>
  <si>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</si>
  <si>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</si>
  <si>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</si>
  <si>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</si>
  <si>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</si>
  <si>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</si>
  <si>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</si>
  <si>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</si>
  <si>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</si>
  <si>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</si>
  <si>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Segesd</t>
  </si>
  <si>
    <t>Zalakomár</t>
  </si>
  <si>
    <t>Óvodai, iskolai szociális munka számára gépjármű beszerzése</t>
  </si>
  <si>
    <t>Képzés 2019.01.01- 2019.05.31</t>
  </si>
  <si>
    <t>Képzés 2019.01.01- 2019.08.05</t>
  </si>
  <si>
    <t>START 2018. évi földút 2019.01.01- 2019.02.28</t>
  </si>
  <si>
    <t>START 2018. évi közút 2019.01.01- 2019.02.28</t>
  </si>
  <si>
    <t>START 2019. évi szociális 2019.03.01- 2019.12.31</t>
  </si>
  <si>
    <t>Képzés 2019.08.01- 2019.08.31</t>
  </si>
  <si>
    <t>Képzés 2019.10.07- 2019.12.16</t>
  </si>
  <si>
    <t>Összesen 2019. évi módosított előirányzat</t>
  </si>
  <si>
    <t>Tanyagondnoki szolgálat eszközfejlesztés (mobil garázs)</t>
  </si>
  <si>
    <t>Idősek Otthona eszközfejlesztés (kórházi ágyak, éjjeli szekrények)</t>
  </si>
  <si>
    <t>Védőnői szolgálat eszközfejlesztés</t>
  </si>
  <si>
    <t>Többcélú Kistérségi Társulás                 2019. évi módosított előirányzat</t>
  </si>
  <si>
    <t>SZESZK ágazati pótlék, bérkompenzáció, 2019. évi normatíva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</si>
</sst>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/>
    </xf>
    <xf numFmtId="3" fontId="52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53" fillId="0" borderId="10" xfId="0" applyFont="1" applyBorder="1" applyAlignment="1">
      <alignment horizontal="justify"/>
    </xf>
    <xf numFmtId="3" fontId="53" fillId="0" borderId="11" xfId="0" applyNumberFormat="1" applyFont="1" applyBorder="1" applyAlignment="1">
      <alignment/>
    </xf>
    <xf numFmtId="3" fontId="52" fillId="33" borderId="11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right"/>
    </xf>
    <xf numFmtId="0" fontId="55" fillId="33" borderId="10" xfId="0" applyFont="1" applyFill="1" applyBorder="1" applyAlignment="1">
      <alignment horizontal="justify"/>
    </xf>
    <xf numFmtId="3" fontId="55" fillId="33" borderId="11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justify"/>
    </xf>
    <xf numFmtId="3" fontId="55" fillId="34" borderId="11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2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2" fillId="0" borderId="13" xfId="0" applyNumberFormat="1" applyFont="1" applyBorder="1" applyAlignment="1">
      <alignment/>
    </xf>
    <xf numFmtId="0" fontId="55" fillId="33" borderId="14" xfId="0" applyFont="1" applyFill="1" applyBorder="1" applyAlignment="1">
      <alignment horizontal="justify"/>
    </xf>
    <xf numFmtId="3" fontId="5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2" fillId="35" borderId="16" xfId="0" applyNumberFormat="1" applyFont="1" applyFill="1" applyBorder="1" applyAlignment="1">
      <alignment/>
    </xf>
    <xf numFmtId="3" fontId="52" fillId="35" borderId="17" xfId="0" applyNumberFormat="1" applyFont="1" applyFill="1" applyBorder="1" applyAlignment="1">
      <alignment/>
    </xf>
    <xf numFmtId="3" fontId="52" fillId="35" borderId="18" xfId="0" applyNumberFormat="1" applyFont="1" applyFill="1" applyBorder="1" applyAlignment="1">
      <alignment/>
    </xf>
    <xf numFmtId="3" fontId="52" fillId="35" borderId="19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5" fillId="35" borderId="18" xfId="0" applyNumberFormat="1" applyFont="1" applyFill="1" applyBorder="1" applyAlignment="1">
      <alignment/>
    </xf>
    <xf numFmtId="3" fontId="55" fillId="35" borderId="19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3" fontId="55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52" fillId="36" borderId="14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/>
    </xf>
    <xf numFmtId="3" fontId="55" fillId="35" borderId="16" xfId="0" applyNumberFormat="1" applyFont="1" applyFill="1" applyBorder="1" applyAlignment="1">
      <alignment/>
    </xf>
    <xf numFmtId="3" fontId="55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3" fontId="55" fillId="35" borderId="12" xfId="0" applyNumberFormat="1" applyFont="1" applyFill="1" applyBorder="1" applyAlignment="1">
      <alignment/>
    </xf>
    <xf numFmtId="3" fontId="55" fillId="35" borderId="10" xfId="0" applyNumberFormat="1" applyFont="1" applyFill="1" applyBorder="1" applyAlignment="1">
      <alignment/>
    </xf>
    <xf numFmtId="3" fontId="55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5" fillId="36" borderId="1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justify"/>
    </xf>
    <xf numFmtId="3" fontId="52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justify"/>
    </xf>
    <xf numFmtId="3" fontId="5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55" fillId="35" borderId="16" xfId="0" applyFont="1" applyFill="1" applyBorder="1" applyAlignment="1">
      <alignment/>
    </xf>
    <xf numFmtId="0" fontId="55" fillId="35" borderId="15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0" fillId="0" borderId="10" xfId="0" applyBorder="1" applyAlignment="1">
      <alignment/>
    </xf>
    <xf numFmtId="3" fontId="48" fillId="33" borderId="11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8" fillId="0" borderId="12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48" fillId="34" borderId="11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48" fillId="35" borderId="11" xfId="0" applyNumberFormat="1" applyFont="1" applyFill="1" applyBorder="1" applyAlignment="1">
      <alignment/>
    </xf>
    <xf numFmtId="3" fontId="48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8" fillId="36" borderId="16" xfId="0" applyNumberFormat="1" applyFont="1" applyFill="1" applyBorder="1" applyAlignment="1">
      <alignment/>
    </xf>
    <xf numFmtId="3" fontId="48" fillId="36" borderId="2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5" fillId="33" borderId="11" xfId="0" applyNumberFormat="1" applyFont="1" applyFill="1" applyBorder="1" applyAlignment="1">
      <alignment horizontal="right"/>
    </xf>
    <xf numFmtId="3" fontId="55" fillId="34" borderId="11" xfId="0" applyNumberFormat="1" applyFont="1" applyFill="1" applyBorder="1" applyAlignment="1">
      <alignment horizontal="right"/>
    </xf>
    <xf numFmtId="3" fontId="52" fillId="0" borderId="23" xfId="0" applyNumberFormat="1" applyFont="1" applyBorder="1" applyAlignment="1">
      <alignment horizontal="right"/>
    </xf>
    <xf numFmtId="3" fontId="52" fillId="0" borderId="24" xfId="0" applyNumberFormat="1" applyFont="1" applyBorder="1" applyAlignment="1">
      <alignment/>
    </xf>
    <xf numFmtId="3" fontId="55" fillId="33" borderId="24" xfId="0" applyNumberFormat="1" applyFont="1" applyFill="1" applyBorder="1" applyAlignment="1">
      <alignment/>
    </xf>
    <xf numFmtId="3" fontId="55" fillId="35" borderId="25" xfId="0" applyNumberFormat="1" applyFont="1" applyFill="1" applyBorder="1" applyAlignment="1">
      <alignment/>
    </xf>
    <xf numFmtId="0" fontId="52" fillId="36" borderId="26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3" fontId="55" fillId="34" borderId="10" xfId="0" applyNumberFormat="1" applyFont="1" applyFill="1" applyBorder="1" applyAlignment="1">
      <alignment/>
    </xf>
    <xf numFmtId="0" fontId="55" fillId="35" borderId="27" xfId="0" applyFont="1" applyFill="1" applyBorder="1" applyAlignment="1">
      <alignment/>
    </xf>
    <xf numFmtId="3" fontId="55" fillId="35" borderId="28" xfId="0" applyNumberFormat="1" applyFont="1" applyFill="1" applyBorder="1" applyAlignment="1">
      <alignment horizontal="right"/>
    </xf>
    <xf numFmtId="3" fontId="55" fillId="35" borderId="28" xfId="0" applyNumberFormat="1" applyFont="1" applyFill="1" applyBorder="1" applyAlignment="1">
      <alignment/>
    </xf>
    <xf numFmtId="3" fontId="55" fillId="35" borderId="27" xfId="0" applyNumberFormat="1" applyFont="1" applyFill="1" applyBorder="1" applyAlignment="1">
      <alignment/>
    </xf>
    <xf numFmtId="0" fontId="55" fillId="35" borderId="29" xfId="0" applyFont="1" applyFill="1" applyBorder="1" applyAlignment="1">
      <alignment/>
    </xf>
    <xf numFmtId="3" fontId="55" fillId="35" borderId="30" xfId="0" applyNumberFormat="1" applyFont="1" applyFill="1" applyBorder="1" applyAlignment="1">
      <alignment horizontal="right"/>
    </xf>
    <xf numFmtId="3" fontId="55" fillId="35" borderId="30" xfId="0" applyNumberFormat="1" applyFont="1" applyFill="1" applyBorder="1" applyAlignment="1">
      <alignment/>
    </xf>
    <xf numFmtId="0" fontId="5" fillId="35" borderId="29" xfId="0" applyFont="1" applyFill="1" applyBorder="1" applyAlignment="1">
      <alignment vertical="top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right"/>
    </xf>
    <xf numFmtId="0" fontId="7" fillId="0" borderId="11" xfId="0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3" fontId="4" fillId="0" borderId="24" xfId="0" applyNumberFormat="1" applyFont="1" applyBorder="1" applyAlignment="1">
      <alignment vertical="center" wrapText="1"/>
    </xf>
    <xf numFmtId="3" fontId="5" fillId="33" borderId="24" xfId="0" applyNumberFormat="1" applyFont="1" applyFill="1" applyBorder="1" applyAlignment="1">
      <alignment vertical="top" wrapText="1"/>
    </xf>
    <xf numFmtId="3" fontId="55" fillId="35" borderId="24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8" fillId="33" borderId="24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54" fillId="0" borderId="24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55" fillId="33" borderId="22" xfId="0" applyNumberFormat="1" applyFont="1" applyFill="1" applyBorder="1" applyAlignment="1">
      <alignment/>
    </xf>
    <xf numFmtId="3" fontId="55" fillId="33" borderId="12" xfId="0" applyNumberFormat="1" applyFont="1" applyFill="1" applyBorder="1" applyAlignment="1">
      <alignment/>
    </xf>
    <xf numFmtId="3" fontId="52" fillId="0" borderId="31" xfId="0" applyNumberFormat="1" applyFont="1" applyBorder="1" applyAlignment="1">
      <alignment/>
    </xf>
    <xf numFmtId="3" fontId="52" fillId="33" borderId="22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0" fontId="55" fillId="36" borderId="32" xfId="0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55" fillId="35" borderId="33" xfId="0" applyFont="1" applyFill="1" applyBorder="1" applyAlignment="1">
      <alignment/>
    </xf>
    <xf numFmtId="0" fontId="55" fillId="36" borderId="34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5" fillId="36" borderId="11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/>
    </xf>
    <xf numFmtId="0" fontId="9" fillId="16" borderId="11" xfId="0" applyFont="1" applyFill="1" applyBorder="1" applyAlignment="1">
      <alignment vertical="top" wrapText="1"/>
    </xf>
    <xf numFmtId="3" fontId="57" fillId="16" borderId="11" xfId="0" applyNumberFormat="1" applyFont="1" applyFill="1" applyBorder="1" applyAlignment="1">
      <alignment/>
    </xf>
    <xf numFmtId="0" fontId="52" fillId="0" borderId="28" xfId="0" applyFont="1" applyBorder="1" applyAlignment="1">
      <alignment/>
    </xf>
    <xf numFmtId="0" fontId="52" fillId="35" borderId="28" xfId="0" applyFont="1" applyFill="1" applyBorder="1" applyAlignment="1">
      <alignment/>
    </xf>
    <xf numFmtId="0" fontId="9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/>
    </xf>
    <xf numFmtId="0" fontId="4" fillId="0" borderId="28" xfId="0" applyFont="1" applyFill="1" applyBorder="1" applyAlignment="1">
      <alignment vertical="top" wrapText="1"/>
    </xf>
    <xf numFmtId="3" fontId="52" fillId="0" borderId="28" xfId="0" applyNumberFormat="1" applyFont="1" applyBorder="1" applyAlignment="1">
      <alignment/>
    </xf>
    <xf numFmtId="0" fontId="55" fillId="34" borderId="10" xfId="0" applyFont="1" applyFill="1" applyBorder="1" applyAlignment="1">
      <alignment horizontal="left"/>
    </xf>
    <xf numFmtId="3" fontId="55" fillId="34" borderId="23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vertical="top" wrapText="1"/>
    </xf>
    <xf numFmtId="3" fontId="55" fillId="33" borderId="28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3" fontId="55" fillId="33" borderId="27" xfId="0" applyNumberFormat="1" applyFont="1" applyFill="1" applyBorder="1" applyAlignment="1">
      <alignment/>
    </xf>
    <xf numFmtId="3" fontId="55" fillId="0" borderId="28" xfId="0" applyNumberFormat="1" applyFont="1" applyFill="1" applyBorder="1" applyAlignment="1">
      <alignment/>
    </xf>
    <xf numFmtId="3" fontId="55" fillId="0" borderId="35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/>
    </xf>
    <xf numFmtId="0" fontId="7" fillId="0" borderId="28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left"/>
    </xf>
    <xf numFmtId="3" fontId="55" fillId="33" borderId="36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48" fillId="0" borderId="11" xfId="0" applyNumberFormat="1" applyFont="1" applyFill="1" applyBorder="1" applyAlignment="1">
      <alignment/>
    </xf>
    <xf numFmtId="3" fontId="48" fillId="0" borderId="24" xfId="0" applyNumberFormat="1" applyFont="1" applyFill="1" applyBorder="1" applyAlignment="1">
      <alignment/>
    </xf>
    <xf numFmtId="3" fontId="52" fillId="33" borderId="28" xfId="0" applyNumberFormat="1" applyFont="1" applyFill="1" applyBorder="1" applyAlignment="1">
      <alignment/>
    </xf>
    <xf numFmtId="3" fontId="52" fillId="33" borderId="37" xfId="0" applyNumberFormat="1" applyFont="1" applyFill="1" applyBorder="1" applyAlignment="1">
      <alignment/>
    </xf>
    <xf numFmtId="3" fontId="52" fillId="0" borderId="28" xfId="0" applyNumberFormat="1" applyFont="1" applyFill="1" applyBorder="1" applyAlignment="1">
      <alignment/>
    </xf>
    <xf numFmtId="3" fontId="52" fillId="0" borderId="37" xfId="0" applyNumberFormat="1" applyFont="1" applyFill="1" applyBorder="1" applyAlignment="1">
      <alignment/>
    </xf>
    <xf numFmtId="3" fontId="55" fillId="33" borderId="23" xfId="0" applyNumberFormat="1" applyFont="1" applyFill="1" applyBorder="1" applyAlignment="1">
      <alignment/>
    </xf>
    <xf numFmtId="3" fontId="52" fillId="0" borderId="23" xfId="0" applyNumberFormat="1" applyFont="1" applyBorder="1" applyAlignment="1">
      <alignment/>
    </xf>
    <xf numFmtId="3" fontId="53" fillId="0" borderId="23" xfId="0" applyNumberFormat="1" applyFont="1" applyBorder="1" applyAlignment="1">
      <alignment/>
    </xf>
    <xf numFmtId="3" fontId="52" fillId="0" borderId="23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vertical="top" wrapText="1"/>
    </xf>
    <xf numFmtId="3" fontId="55" fillId="0" borderId="38" xfId="0" applyNumberFormat="1" applyFont="1" applyFill="1" applyBorder="1" applyAlignment="1">
      <alignment/>
    </xf>
    <xf numFmtId="3" fontId="57" fillId="16" borderId="23" xfId="0" applyNumberFormat="1" applyFont="1" applyFill="1" applyBorder="1" applyAlignment="1">
      <alignment/>
    </xf>
    <xf numFmtId="3" fontId="57" fillId="16" borderId="12" xfId="0" applyNumberFormat="1" applyFont="1" applyFill="1" applyBorder="1" applyAlignment="1">
      <alignment/>
    </xf>
    <xf numFmtId="3" fontId="57" fillId="0" borderId="23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2" xfId="0" applyNumberFormat="1" applyFont="1" applyFill="1" applyBorder="1" applyAlignment="1">
      <alignment/>
    </xf>
    <xf numFmtId="3" fontId="57" fillId="0" borderId="37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5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36" borderId="39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top" wrapText="1"/>
    </xf>
    <xf numFmtId="3" fontId="5" fillId="35" borderId="16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3" fontId="4" fillId="0" borderId="28" xfId="0" applyNumberFormat="1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top" wrapText="1"/>
    </xf>
    <xf numFmtId="3" fontId="4" fillId="0" borderId="35" xfId="0" applyNumberFormat="1" applyFont="1" applyBorder="1" applyAlignment="1">
      <alignment horizontal="right" vertical="top" wrapText="1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4" fillId="0" borderId="27" xfId="0" applyFont="1" applyBorder="1" applyAlignment="1">
      <alignment vertical="top" wrapText="1"/>
    </xf>
    <xf numFmtId="0" fontId="5" fillId="36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35" borderId="20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right" vertical="top" wrapText="1"/>
    </xf>
    <xf numFmtId="0" fontId="34" fillId="0" borderId="0" xfId="0" applyFont="1" applyAlignment="1">
      <alignment/>
    </xf>
    <xf numFmtId="3" fontId="55" fillId="36" borderId="41" xfId="0" applyNumberFormat="1" applyFont="1" applyFill="1" applyBorder="1" applyAlignment="1">
      <alignment horizontal="center" vertical="center" wrapText="1"/>
    </xf>
    <xf numFmtId="3" fontId="55" fillId="36" borderId="26" xfId="0" applyNumberFormat="1" applyFont="1" applyFill="1" applyBorder="1" applyAlignment="1">
      <alignment horizontal="center" vertical="center" wrapText="1"/>
    </xf>
    <xf numFmtId="3" fontId="55" fillId="36" borderId="15" xfId="0" applyNumberFormat="1" applyFont="1" applyFill="1" applyBorder="1" applyAlignment="1">
      <alignment horizontal="center" vertical="center" wrapText="1"/>
    </xf>
    <xf numFmtId="3" fontId="55" fillId="36" borderId="22" xfId="0" applyNumberFormat="1" applyFont="1" applyFill="1" applyBorder="1" applyAlignment="1">
      <alignment horizontal="center" vertical="center" wrapText="1"/>
    </xf>
    <xf numFmtId="3" fontId="55" fillId="36" borderId="11" xfId="0" applyNumberFormat="1" applyFont="1" applyFill="1" applyBorder="1" applyAlignment="1">
      <alignment horizontal="center"/>
    </xf>
    <xf numFmtId="3" fontId="55" fillId="36" borderId="11" xfId="0" applyNumberFormat="1" applyFont="1" applyFill="1" applyBorder="1" applyAlignment="1">
      <alignment horizontal="center" vertical="center" wrapText="1"/>
    </xf>
    <xf numFmtId="3" fontId="55" fillId="36" borderId="12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 applyProtection="1">
      <alignment/>
      <protection hidden="1"/>
    </xf>
    <xf numFmtId="3" fontId="4" fillId="33" borderId="24" xfId="0" applyNumberFormat="1" applyFont="1" applyFill="1" applyBorder="1" applyAlignment="1">
      <alignment/>
    </xf>
    <xf numFmtId="3" fontId="55" fillId="0" borderId="12" xfId="0" applyNumberFormat="1" applyFont="1" applyBorder="1" applyAlignment="1">
      <alignment/>
    </xf>
    <xf numFmtId="3" fontId="52" fillId="0" borderId="42" xfId="0" applyNumberFormat="1" applyFont="1" applyBorder="1" applyAlignment="1" applyProtection="1">
      <alignment/>
      <protection hidden="1"/>
    </xf>
    <xf numFmtId="3" fontId="4" fillId="0" borderId="24" xfId="0" applyNumberFormat="1" applyFont="1" applyBorder="1" applyAlignment="1">
      <alignment/>
    </xf>
    <xf numFmtId="3" fontId="52" fillId="0" borderId="43" xfId="0" applyNumberFormat="1" applyFont="1" applyBorder="1" applyAlignment="1" applyProtection="1">
      <alignment/>
      <protection hidden="1"/>
    </xf>
    <xf numFmtId="3" fontId="4" fillId="0" borderId="1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0" xfId="0" applyNumberFormat="1" applyFont="1" applyBorder="1" applyAlignment="1" applyProtection="1">
      <alignment/>
      <protection hidden="1"/>
    </xf>
    <xf numFmtId="3" fontId="55" fillId="0" borderId="35" xfId="0" applyNumberFormat="1" applyFont="1" applyBorder="1" applyAlignment="1">
      <alignment/>
    </xf>
    <xf numFmtId="3" fontId="52" fillId="0" borderId="44" xfId="0" applyNumberFormat="1" applyFont="1" applyBorder="1" applyAlignment="1" applyProtection="1">
      <alignment/>
      <protection hidden="1"/>
    </xf>
    <xf numFmtId="3" fontId="52" fillId="35" borderId="20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3" fontId="0" fillId="35" borderId="21" xfId="0" applyNumberFormat="1" applyFill="1" applyBorder="1" applyAlignment="1">
      <alignment/>
    </xf>
    <xf numFmtId="0" fontId="0" fillId="0" borderId="45" xfId="0" applyBorder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2" fillId="36" borderId="46" xfId="0" applyFont="1" applyFill="1" applyBorder="1" applyAlignment="1">
      <alignment horizontal="center"/>
    </xf>
    <xf numFmtId="3" fontId="55" fillId="36" borderId="14" xfId="0" applyNumberFormat="1" applyFont="1" applyFill="1" applyBorder="1" applyAlignment="1">
      <alignment horizontal="center"/>
    </xf>
    <xf numFmtId="3" fontId="55" fillId="36" borderId="15" xfId="0" applyNumberFormat="1" applyFont="1" applyFill="1" applyBorder="1" applyAlignment="1">
      <alignment horizontal="center"/>
    </xf>
    <xf numFmtId="3" fontId="55" fillId="36" borderId="41" xfId="0" applyNumberFormat="1" applyFont="1" applyFill="1" applyBorder="1" applyAlignment="1">
      <alignment horizontal="center" vertical="center"/>
    </xf>
    <xf numFmtId="3" fontId="55" fillId="36" borderId="47" xfId="0" applyNumberFormat="1" applyFont="1" applyFill="1" applyBorder="1" applyAlignment="1">
      <alignment horizontal="center" vertical="center"/>
    </xf>
    <xf numFmtId="3" fontId="55" fillId="36" borderId="10" xfId="0" applyNumberFormat="1" applyFont="1" applyFill="1" applyBorder="1" applyAlignment="1">
      <alignment horizontal="center"/>
    </xf>
    <xf numFmtId="3" fontId="55" fillId="36" borderId="11" xfId="0" applyNumberFormat="1" applyFont="1" applyFill="1" applyBorder="1" applyAlignment="1">
      <alignment horizontal="center"/>
    </xf>
    <xf numFmtId="0" fontId="52" fillId="0" borderId="28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41" xfId="0" applyFont="1" applyFill="1" applyBorder="1" applyAlignment="1">
      <alignment horizontal="center" vertical="center" wrapText="1"/>
    </xf>
    <xf numFmtId="0" fontId="55" fillId="36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top" wrapText="1"/>
    </xf>
    <xf numFmtId="0" fontId="55" fillId="36" borderId="49" xfId="0" applyFont="1" applyFill="1" applyBorder="1" applyAlignment="1">
      <alignment horizontal="center" vertical="center"/>
    </xf>
    <xf numFmtId="0" fontId="55" fillId="36" borderId="47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%20Munkahely\10%20Kist&#233;rs&#233;g\10%20p&#233;nz&#252;gy\20%20k&#246;lts&#233;gvet&#233;s\k&#246;lts&#233;gvet&#233;s%202019\Tervez&#233;s\2019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Bevételi források"/>
      <sheetName val="2.szKiadás kiemelt jogcímenként"/>
      <sheetName val="3a sz.Működési mérleg"/>
      <sheetName val="3b sz.Felhalmozási mérleg"/>
      <sheetName val="4. sz. felújítási ei"/>
      <sheetName val="5.sz.beruházási kiadások"/>
      <sheetName val="6.sz. fizetendő hozzájárulás"/>
      <sheetName val="7. sz. Likviditási terv"/>
      <sheetName val="8.sz. Társulás ktgv. feladaton"/>
      <sheetName val="9. Intézményi költségvetések"/>
      <sheetName val="10.Létszám e. i."/>
      <sheetName val="11. Közfoglalk. létszám ei"/>
      <sheetName val="12.EU projektek "/>
      <sheetName val="13. melléklet"/>
    </sheetNames>
    <sheetDataSet>
      <sheetData sheetId="6">
        <row r="6">
          <cell r="V6">
            <v>15528</v>
          </cell>
        </row>
        <row r="7">
          <cell r="V7">
            <v>10700</v>
          </cell>
        </row>
        <row r="8">
          <cell r="V8">
            <v>9815</v>
          </cell>
        </row>
        <row r="9">
          <cell r="V9">
            <v>9445</v>
          </cell>
        </row>
        <row r="10">
          <cell r="V10">
            <v>1453</v>
          </cell>
        </row>
        <row r="12">
          <cell r="V12">
            <v>1016</v>
          </cell>
        </row>
        <row r="13">
          <cell r="V13">
            <v>1208</v>
          </cell>
        </row>
        <row r="14">
          <cell r="V14">
            <v>387</v>
          </cell>
        </row>
        <row r="15">
          <cell r="V15">
            <v>2186</v>
          </cell>
        </row>
        <row r="16">
          <cell r="V16">
            <v>1436</v>
          </cell>
        </row>
        <row r="17">
          <cell r="V17">
            <v>610</v>
          </cell>
        </row>
        <row r="19">
          <cell r="V19">
            <v>13837</v>
          </cell>
        </row>
        <row r="21">
          <cell r="S21">
            <v>3800000</v>
          </cell>
          <cell r="T21">
            <v>120621743</v>
          </cell>
        </row>
        <row r="22">
          <cell r="V22">
            <v>16258</v>
          </cell>
        </row>
        <row r="23">
          <cell r="V23">
            <v>2889</v>
          </cell>
        </row>
        <row r="24">
          <cell r="V24">
            <v>9858</v>
          </cell>
        </row>
        <row r="25">
          <cell r="V25">
            <v>739</v>
          </cell>
        </row>
        <row r="26">
          <cell r="V26">
            <v>4419</v>
          </cell>
        </row>
        <row r="27">
          <cell r="V27">
            <v>5990</v>
          </cell>
        </row>
        <row r="28">
          <cell r="V28">
            <v>10647</v>
          </cell>
        </row>
        <row r="31">
          <cell r="V31">
            <v>10302</v>
          </cell>
        </row>
        <row r="32">
          <cell r="V32">
            <v>337</v>
          </cell>
        </row>
        <row r="34">
          <cell r="V34">
            <v>2920</v>
          </cell>
        </row>
        <row r="35">
          <cell r="V35">
            <v>773</v>
          </cell>
        </row>
        <row r="37">
          <cell r="V37">
            <v>2142</v>
          </cell>
        </row>
        <row r="38">
          <cell r="V38">
            <v>7075</v>
          </cell>
        </row>
        <row r="39">
          <cell r="V39">
            <v>968</v>
          </cell>
        </row>
        <row r="40">
          <cell r="V40">
            <v>460</v>
          </cell>
        </row>
        <row r="41">
          <cell r="V41">
            <v>2202</v>
          </cell>
        </row>
        <row r="42">
          <cell r="V42">
            <v>7277</v>
          </cell>
        </row>
        <row r="43">
          <cell r="V43">
            <v>3162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view="pageBreakPreview" zoomScaleSheetLayoutView="100" workbookViewId="0" topLeftCell="B1">
      <selection activeCell="I4" sqref="I4"/>
    </sheetView>
  </sheetViews>
  <sheetFormatPr defaultColWidth="9.140625" defaultRowHeight="15"/>
  <cols>
    <col min="1" max="1" width="85.421875" style="0" customWidth="1"/>
    <col min="2" max="3" width="18.421875" style="0" customWidth="1"/>
    <col min="4" max="4" width="16.421875" style="0" customWidth="1"/>
    <col min="5" max="5" width="17.421875" style="0" customWidth="1"/>
    <col min="6" max="9" width="19.00390625" style="0" customWidth="1"/>
    <col min="10" max="10" width="21.57421875" style="0" customWidth="1"/>
  </cols>
  <sheetData>
    <row r="1" ht="15">
      <c r="A1" t="s">
        <v>42</v>
      </c>
    </row>
    <row r="2" spans="2:3" ht="15">
      <c r="B2" s="1"/>
      <c r="C2" s="1"/>
    </row>
    <row r="3" ht="15.75" thickBot="1">
      <c r="I3" s="10" t="s">
        <v>16</v>
      </c>
    </row>
    <row r="4" spans="1:11" ht="67.5" customHeight="1">
      <c r="A4" s="40" t="s">
        <v>38</v>
      </c>
      <c r="B4" s="41" t="s">
        <v>193</v>
      </c>
      <c r="C4" s="41" t="s">
        <v>275</v>
      </c>
      <c r="D4" s="91" t="s">
        <v>194</v>
      </c>
      <c r="E4" s="91" t="s">
        <v>199</v>
      </c>
      <c r="F4" s="41" t="s">
        <v>195</v>
      </c>
      <c r="G4" s="41" t="s">
        <v>200</v>
      </c>
      <c r="H4" s="92" t="s">
        <v>196</v>
      </c>
      <c r="I4" s="92" t="s">
        <v>271</v>
      </c>
      <c r="K4" s="1"/>
    </row>
    <row r="5" spans="1:14" ht="20.25" customHeight="1">
      <c r="A5" s="11" t="s">
        <v>1</v>
      </c>
      <c r="B5" s="12">
        <f aca="true" t="shared" si="0" ref="B5:G5">B6</f>
        <v>31857</v>
      </c>
      <c r="C5" s="12">
        <f t="shared" si="0"/>
        <v>31857</v>
      </c>
      <c r="D5" s="12">
        <f t="shared" si="0"/>
        <v>55598</v>
      </c>
      <c r="E5" s="12">
        <f t="shared" si="0"/>
        <v>55598</v>
      </c>
      <c r="F5" s="12">
        <f t="shared" si="0"/>
        <v>79776</v>
      </c>
      <c r="G5" s="12">
        <f t="shared" si="0"/>
        <v>72773</v>
      </c>
      <c r="H5" s="93">
        <f aca="true" t="shared" si="1" ref="H5:I48">B5+D5+F5</f>
        <v>167231</v>
      </c>
      <c r="I5" s="93">
        <f t="shared" si="1"/>
        <v>160228</v>
      </c>
      <c r="K5" s="1"/>
      <c r="L5" s="1"/>
      <c r="M5" s="1"/>
      <c r="N5" s="1"/>
    </row>
    <row r="6" spans="1:14" ht="15">
      <c r="A6" s="3" t="s">
        <v>2</v>
      </c>
      <c r="B6" s="83">
        <v>31857</v>
      </c>
      <c r="C6" s="83">
        <v>31857</v>
      </c>
      <c r="D6" s="4">
        <v>55598</v>
      </c>
      <c r="E6" s="4">
        <v>55598</v>
      </c>
      <c r="F6" s="4">
        <v>79776</v>
      </c>
      <c r="G6" s="167">
        <f>F6-7003</f>
        <v>72773</v>
      </c>
      <c r="H6" s="33">
        <f t="shared" si="1"/>
        <v>167231</v>
      </c>
      <c r="I6" s="33">
        <f t="shared" si="1"/>
        <v>160228</v>
      </c>
      <c r="J6" s="1"/>
      <c r="K6" s="1"/>
      <c r="L6" s="1"/>
      <c r="M6" s="1"/>
      <c r="N6" s="1"/>
    </row>
    <row r="7" spans="1:14" ht="15">
      <c r="A7" s="3"/>
      <c r="B7" s="87"/>
      <c r="C7" s="87"/>
      <c r="D7" s="4"/>
      <c r="E7" s="4"/>
      <c r="F7" s="4"/>
      <c r="G7" s="167"/>
      <c r="H7" s="33">
        <f t="shared" si="1"/>
        <v>0</v>
      </c>
      <c r="I7" s="33">
        <f t="shared" si="1"/>
        <v>0</v>
      </c>
      <c r="J7" s="1"/>
      <c r="K7" s="1"/>
      <c r="L7" s="1"/>
      <c r="M7" s="1"/>
      <c r="N7" s="1"/>
    </row>
    <row r="8" spans="1:14" ht="15">
      <c r="A8" s="11" t="s">
        <v>94</v>
      </c>
      <c r="B8" s="12">
        <f aca="true" t="shared" si="2" ref="B8:G8">SUM(B9:B15)</f>
        <v>955452</v>
      </c>
      <c r="C8" s="12">
        <f t="shared" si="2"/>
        <v>938279</v>
      </c>
      <c r="D8" s="12">
        <f t="shared" si="2"/>
        <v>62475</v>
      </c>
      <c r="E8" s="12">
        <f t="shared" si="2"/>
        <v>38125</v>
      </c>
      <c r="F8" s="12">
        <f t="shared" si="2"/>
        <v>0</v>
      </c>
      <c r="G8" s="12">
        <f t="shared" si="2"/>
        <v>450</v>
      </c>
      <c r="H8" s="93">
        <f t="shared" si="1"/>
        <v>1017927</v>
      </c>
      <c r="I8" s="93">
        <f t="shared" si="1"/>
        <v>976854</v>
      </c>
      <c r="J8" s="1"/>
      <c r="K8" s="1"/>
      <c r="L8" s="1"/>
      <c r="M8" s="1"/>
      <c r="N8" s="1"/>
    </row>
    <row r="9" spans="1:14" ht="15">
      <c r="A9" s="3" t="s">
        <v>98</v>
      </c>
      <c r="B9" s="4">
        <v>102717</v>
      </c>
      <c r="C9" s="4">
        <v>102717</v>
      </c>
      <c r="D9" s="4">
        <v>727</v>
      </c>
      <c r="E9" s="4">
        <v>145</v>
      </c>
      <c r="F9" s="4"/>
      <c r="G9" s="167"/>
      <c r="H9" s="33">
        <f t="shared" si="1"/>
        <v>103444</v>
      </c>
      <c r="I9" s="33">
        <f t="shared" si="1"/>
        <v>102862</v>
      </c>
      <c r="J9" s="1"/>
      <c r="K9" s="1"/>
      <c r="L9" s="1"/>
      <c r="M9" s="1"/>
      <c r="N9" s="1"/>
    </row>
    <row r="10" spans="1:14" ht="15">
      <c r="A10" s="3" t="s">
        <v>99</v>
      </c>
      <c r="B10" s="4">
        <v>30600</v>
      </c>
      <c r="C10" s="4">
        <v>35700</v>
      </c>
      <c r="D10" s="4">
        <v>26837</v>
      </c>
      <c r="E10" s="4">
        <v>29200</v>
      </c>
      <c r="F10" s="4"/>
      <c r="G10" s="167"/>
      <c r="H10" s="33">
        <f t="shared" si="1"/>
        <v>57437</v>
      </c>
      <c r="I10" s="33">
        <f t="shared" si="1"/>
        <v>64900</v>
      </c>
      <c r="J10" s="1"/>
      <c r="K10" s="1"/>
      <c r="L10" s="1"/>
      <c r="M10" s="1"/>
      <c r="N10" s="1"/>
    </row>
    <row r="11" spans="1:14" ht="15">
      <c r="A11" s="3" t="s">
        <v>100</v>
      </c>
      <c r="B11" s="4">
        <v>822135</v>
      </c>
      <c r="C11" s="62">
        <v>799862</v>
      </c>
      <c r="D11" s="4">
        <v>0</v>
      </c>
      <c r="E11" s="4">
        <v>615</v>
      </c>
      <c r="F11" s="4"/>
      <c r="G11" s="167">
        <v>450</v>
      </c>
      <c r="H11" s="33">
        <f t="shared" si="1"/>
        <v>822135</v>
      </c>
      <c r="I11" s="33">
        <f t="shared" si="1"/>
        <v>800927</v>
      </c>
      <c r="J11" s="1"/>
      <c r="K11" s="1"/>
      <c r="L11" s="1"/>
      <c r="M11" s="1"/>
      <c r="N11" s="1"/>
    </row>
    <row r="12" spans="1:14" ht="15">
      <c r="A12" s="3" t="s">
        <v>101</v>
      </c>
      <c r="B12" s="4">
        <v>0</v>
      </c>
      <c r="C12" s="4"/>
      <c r="D12" s="4">
        <v>34911</v>
      </c>
      <c r="E12" s="62">
        <v>8165</v>
      </c>
      <c r="F12" s="62"/>
      <c r="G12" s="167"/>
      <c r="H12" s="33">
        <f t="shared" si="1"/>
        <v>34911</v>
      </c>
      <c r="I12" s="33">
        <f t="shared" si="1"/>
        <v>8165</v>
      </c>
      <c r="J12" s="1"/>
      <c r="K12" s="1"/>
      <c r="L12" s="1"/>
      <c r="M12" s="1"/>
      <c r="N12" s="1"/>
    </row>
    <row r="13" spans="1:14" ht="15">
      <c r="A13" s="3" t="s">
        <v>102</v>
      </c>
      <c r="B13" s="4">
        <v>0</v>
      </c>
      <c r="C13" s="4"/>
      <c r="D13" s="4">
        <v>0</v>
      </c>
      <c r="E13" s="4"/>
      <c r="F13" s="4"/>
      <c r="G13" s="167"/>
      <c r="H13" s="33">
        <f t="shared" si="1"/>
        <v>0</v>
      </c>
      <c r="I13" s="33">
        <f t="shared" si="1"/>
        <v>0</v>
      </c>
      <c r="J13" s="1"/>
      <c r="K13" s="1"/>
      <c r="L13" s="1"/>
      <c r="M13" s="1"/>
      <c r="N13" s="1"/>
    </row>
    <row r="14" spans="1:14" ht="15">
      <c r="A14" s="3" t="s">
        <v>103</v>
      </c>
      <c r="B14" s="4">
        <v>0</v>
      </c>
      <c r="C14" s="4"/>
      <c r="D14" s="4"/>
      <c r="E14" s="4"/>
      <c r="F14" s="4"/>
      <c r="G14" s="167"/>
      <c r="H14" s="33">
        <f t="shared" si="1"/>
        <v>0</v>
      </c>
      <c r="I14" s="33">
        <f t="shared" si="1"/>
        <v>0</v>
      </c>
      <c r="J14" s="1"/>
      <c r="K14" s="1"/>
      <c r="L14" s="1"/>
      <c r="M14" s="1"/>
      <c r="N14" s="1"/>
    </row>
    <row r="15" spans="1:14" ht="15">
      <c r="A15" s="3"/>
      <c r="B15" s="4"/>
      <c r="C15" s="4"/>
      <c r="D15" s="4"/>
      <c r="E15" s="4"/>
      <c r="F15" s="4"/>
      <c r="G15" s="167"/>
      <c r="H15" s="33">
        <f t="shared" si="1"/>
        <v>0</v>
      </c>
      <c r="I15" s="33">
        <f t="shared" si="1"/>
        <v>0</v>
      </c>
      <c r="J15" s="1"/>
      <c r="K15" s="1"/>
      <c r="L15" s="1"/>
      <c r="M15" s="1"/>
      <c r="N15" s="1"/>
    </row>
    <row r="16" spans="1:14" ht="15">
      <c r="A16" s="11" t="s">
        <v>95</v>
      </c>
      <c r="B16" s="85">
        <f aca="true" t="shared" si="3" ref="B16:G16">SUM(B17:B17)</f>
        <v>0</v>
      </c>
      <c r="C16" s="85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200</v>
      </c>
      <c r="H16" s="93">
        <f t="shared" si="1"/>
        <v>0</v>
      </c>
      <c r="I16" s="93">
        <f t="shared" si="1"/>
        <v>200</v>
      </c>
      <c r="J16" s="1"/>
      <c r="K16" s="1"/>
      <c r="L16" s="1"/>
      <c r="M16" s="1"/>
      <c r="N16" s="1"/>
    </row>
    <row r="17" spans="1:14" ht="15">
      <c r="A17" s="3" t="s">
        <v>111</v>
      </c>
      <c r="B17" s="87">
        <v>0</v>
      </c>
      <c r="C17" s="87">
        <v>0</v>
      </c>
      <c r="D17" s="4">
        <v>0</v>
      </c>
      <c r="E17" s="4"/>
      <c r="F17" s="4"/>
      <c r="G17" s="167">
        <v>200</v>
      </c>
      <c r="H17" s="33">
        <f t="shared" si="1"/>
        <v>0</v>
      </c>
      <c r="I17" s="33">
        <f t="shared" si="1"/>
        <v>200</v>
      </c>
      <c r="J17" s="1"/>
      <c r="K17" s="1"/>
      <c r="L17" s="1"/>
      <c r="M17" s="1"/>
      <c r="N17" s="1"/>
    </row>
    <row r="18" spans="1:14" ht="15">
      <c r="A18" s="3"/>
      <c r="B18" s="87"/>
      <c r="C18" s="87"/>
      <c r="D18" s="4"/>
      <c r="E18" s="4"/>
      <c r="F18" s="4"/>
      <c r="G18" s="167"/>
      <c r="H18" s="33">
        <f t="shared" si="1"/>
        <v>0</v>
      </c>
      <c r="I18" s="33">
        <f t="shared" si="1"/>
        <v>0</v>
      </c>
      <c r="J18" s="1"/>
      <c r="K18" s="1"/>
      <c r="L18" s="1"/>
      <c r="M18" s="1"/>
      <c r="N18" s="1"/>
    </row>
    <row r="19" spans="1:14" ht="15">
      <c r="A19" s="11" t="s">
        <v>96</v>
      </c>
      <c r="B19" s="85">
        <f aca="true" t="shared" si="4" ref="B19:G19">SUM(B20:B20)</f>
        <v>0</v>
      </c>
      <c r="C19" s="85">
        <f t="shared" si="4"/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93">
        <f t="shared" si="1"/>
        <v>0</v>
      </c>
      <c r="I19" s="93">
        <f t="shared" si="1"/>
        <v>0</v>
      </c>
      <c r="J19" s="1"/>
      <c r="K19" s="1"/>
      <c r="L19" s="1"/>
      <c r="M19" s="1"/>
      <c r="N19" s="1"/>
    </row>
    <row r="20" spans="1:14" ht="15">
      <c r="A20" s="3" t="s">
        <v>116</v>
      </c>
      <c r="B20" s="4">
        <v>0</v>
      </c>
      <c r="C20" s="4">
        <v>0</v>
      </c>
      <c r="D20" s="4">
        <v>0</v>
      </c>
      <c r="E20" s="4"/>
      <c r="F20" s="4"/>
      <c r="G20" s="167"/>
      <c r="H20" s="33">
        <f t="shared" si="1"/>
        <v>0</v>
      </c>
      <c r="I20" s="33">
        <f t="shared" si="1"/>
        <v>0</v>
      </c>
      <c r="J20" s="1"/>
      <c r="K20" s="1"/>
      <c r="L20" s="1"/>
      <c r="M20" s="1"/>
      <c r="N20" s="1"/>
    </row>
    <row r="21" spans="1:14" ht="15">
      <c r="A21" s="3"/>
      <c r="B21" s="87"/>
      <c r="C21" s="87"/>
      <c r="D21" s="4"/>
      <c r="E21" s="4"/>
      <c r="F21" s="4"/>
      <c r="G21" s="167"/>
      <c r="H21" s="33">
        <f t="shared" si="1"/>
        <v>0</v>
      </c>
      <c r="I21" s="33">
        <f t="shared" si="1"/>
        <v>0</v>
      </c>
      <c r="J21" s="1"/>
      <c r="K21" s="1"/>
      <c r="L21" s="1"/>
      <c r="M21" s="1"/>
      <c r="N21" s="1"/>
    </row>
    <row r="22" spans="1:14" ht="15">
      <c r="A22" s="11" t="s">
        <v>97</v>
      </c>
      <c r="B22" s="85">
        <f aca="true" t="shared" si="5" ref="B22:G22">SUM(B23:B29)</f>
        <v>0</v>
      </c>
      <c r="C22" s="85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93">
        <f t="shared" si="1"/>
        <v>0</v>
      </c>
      <c r="I22" s="93">
        <f t="shared" si="1"/>
        <v>0</v>
      </c>
      <c r="J22" s="1"/>
      <c r="K22" s="1"/>
      <c r="L22" s="1"/>
      <c r="M22" s="1"/>
      <c r="N22" s="1"/>
    </row>
    <row r="23" spans="1:14" ht="15">
      <c r="A23" s="3" t="s">
        <v>104</v>
      </c>
      <c r="B23" s="4"/>
      <c r="C23" s="4"/>
      <c r="D23" s="4"/>
      <c r="E23" s="4"/>
      <c r="F23" s="4"/>
      <c r="G23" s="167"/>
      <c r="H23" s="33">
        <f t="shared" si="1"/>
        <v>0</v>
      </c>
      <c r="I23" s="33">
        <f t="shared" si="1"/>
        <v>0</v>
      </c>
      <c r="J23" s="1"/>
      <c r="K23" s="1"/>
      <c r="L23" s="1"/>
      <c r="M23" s="1"/>
      <c r="N23" s="1"/>
    </row>
    <row r="24" spans="1:14" ht="15">
      <c r="A24" s="3" t="s">
        <v>105</v>
      </c>
      <c r="B24" s="4"/>
      <c r="C24" s="4"/>
      <c r="D24" s="4"/>
      <c r="E24" s="4"/>
      <c r="F24" s="4"/>
      <c r="G24" s="167"/>
      <c r="H24" s="33">
        <f t="shared" si="1"/>
        <v>0</v>
      </c>
      <c r="I24" s="33">
        <f t="shared" si="1"/>
        <v>0</v>
      </c>
      <c r="J24" s="1"/>
      <c r="K24" s="1"/>
      <c r="L24" s="1"/>
      <c r="M24" s="1"/>
      <c r="N24" s="1"/>
    </row>
    <row r="25" spans="1:14" ht="15">
      <c r="A25" s="3" t="s">
        <v>106</v>
      </c>
      <c r="B25" s="4"/>
      <c r="C25" s="4"/>
      <c r="D25" s="4"/>
      <c r="E25" s="4"/>
      <c r="F25" s="4"/>
      <c r="G25" s="167"/>
      <c r="H25" s="33">
        <f t="shared" si="1"/>
        <v>0</v>
      </c>
      <c r="I25" s="33">
        <f t="shared" si="1"/>
        <v>0</v>
      </c>
      <c r="J25" s="1"/>
      <c r="K25" s="1"/>
      <c r="L25" s="1"/>
      <c r="M25" s="1"/>
      <c r="N25" s="1"/>
    </row>
    <row r="26" spans="1:14" ht="15">
      <c r="A26" s="3" t="s">
        <v>107</v>
      </c>
      <c r="B26" s="4"/>
      <c r="C26" s="4"/>
      <c r="D26" s="4"/>
      <c r="E26" s="4"/>
      <c r="F26" s="4"/>
      <c r="G26" s="167"/>
      <c r="H26" s="33">
        <f t="shared" si="1"/>
        <v>0</v>
      </c>
      <c r="I26" s="33">
        <f t="shared" si="1"/>
        <v>0</v>
      </c>
      <c r="J26" s="1"/>
      <c r="K26" s="1"/>
      <c r="L26" s="1"/>
      <c r="M26" s="1"/>
      <c r="N26" s="1"/>
    </row>
    <row r="27" spans="1:14" ht="15">
      <c r="A27" s="3" t="s">
        <v>108</v>
      </c>
      <c r="B27" s="4"/>
      <c r="C27" s="4"/>
      <c r="D27" s="4"/>
      <c r="E27" s="4"/>
      <c r="F27" s="4"/>
      <c r="G27" s="167"/>
      <c r="H27" s="33">
        <f t="shared" si="1"/>
        <v>0</v>
      </c>
      <c r="I27" s="33">
        <f t="shared" si="1"/>
        <v>0</v>
      </c>
      <c r="J27" s="1"/>
      <c r="K27" s="1"/>
      <c r="L27" s="1"/>
      <c r="M27" s="1"/>
      <c r="N27" s="1"/>
    </row>
    <row r="28" spans="1:14" ht="15">
      <c r="A28" s="3" t="s">
        <v>109</v>
      </c>
      <c r="B28" s="4"/>
      <c r="C28" s="4"/>
      <c r="D28" s="4"/>
      <c r="E28" s="4"/>
      <c r="F28" s="4"/>
      <c r="G28" s="167"/>
      <c r="H28" s="33">
        <f t="shared" si="1"/>
        <v>0</v>
      </c>
      <c r="I28" s="33">
        <f t="shared" si="1"/>
        <v>0</v>
      </c>
      <c r="J28" s="1"/>
      <c r="K28" s="1"/>
      <c r="L28" s="1"/>
      <c r="M28" s="1"/>
      <c r="N28" s="1"/>
    </row>
    <row r="29" spans="1:14" ht="15">
      <c r="A29" s="3"/>
      <c r="B29" s="87"/>
      <c r="C29" s="87"/>
      <c r="D29" s="4"/>
      <c r="E29" s="4"/>
      <c r="F29" s="4"/>
      <c r="G29" s="167"/>
      <c r="H29" s="33">
        <f t="shared" si="1"/>
        <v>0</v>
      </c>
      <c r="I29" s="33">
        <f t="shared" si="1"/>
        <v>0</v>
      </c>
      <c r="J29" s="1"/>
      <c r="K29" s="1"/>
      <c r="L29" s="1"/>
      <c r="M29" s="1"/>
      <c r="N29" s="1"/>
    </row>
    <row r="30" spans="1:14" ht="15">
      <c r="A30" s="11" t="s">
        <v>110</v>
      </c>
      <c r="B30" s="85">
        <f aca="true" t="shared" si="6" ref="B30:G30">SUM(B31:B32)</f>
        <v>0</v>
      </c>
      <c r="C30" s="85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93">
        <f t="shared" si="1"/>
        <v>0</v>
      </c>
      <c r="I30" s="93">
        <f t="shared" si="1"/>
        <v>0</v>
      </c>
      <c r="J30" s="1"/>
      <c r="K30" s="1"/>
      <c r="L30" s="1"/>
      <c r="M30" s="1"/>
      <c r="N30" s="1"/>
    </row>
    <row r="31" spans="1:14" ht="15">
      <c r="A31" s="3" t="s">
        <v>3</v>
      </c>
      <c r="B31" s="87"/>
      <c r="C31" s="87"/>
      <c r="D31" s="4"/>
      <c r="E31" s="4"/>
      <c r="F31" s="4"/>
      <c r="G31" s="167"/>
      <c r="H31" s="33">
        <f t="shared" si="1"/>
        <v>0</v>
      </c>
      <c r="I31" s="33">
        <f t="shared" si="1"/>
        <v>0</v>
      </c>
      <c r="J31" s="1"/>
      <c r="K31" s="1"/>
      <c r="L31" s="1"/>
      <c r="M31" s="1"/>
      <c r="N31" s="1"/>
    </row>
    <row r="32" spans="1:14" ht="15">
      <c r="A32" s="3" t="s">
        <v>89</v>
      </c>
      <c r="B32" s="87"/>
      <c r="C32" s="87"/>
      <c r="D32" s="4"/>
      <c r="E32" s="4"/>
      <c r="F32" s="4"/>
      <c r="G32" s="167"/>
      <c r="H32" s="33">
        <f t="shared" si="1"/>
        <v>0</v>
      </c>
      <c r="I32" s="33">
        <f t="shared" si="1"/>
        <v>0</v>
      </c>
      <c r="J32" s="1"/>
      <c r="K32" s="1"/>
      <c r="L32" s="1"/>
      <c r="M32" s="1"/>
      <c r="N32" s="1"/>
    </row>
    <row r="33" spans="1:14" ht="15">
      <c r="A33" s="3"/>
      <c r="B33" s="87"/>
      <c r="C33" s="87"/>
      <c r="D33" s="4"/>
      <c r="E33" s="4"/>
      <c r="F33" s="4"/>
      <c r="G33" s="167"/>
      <c r="H33" s="33">
        <f t="shared" si="1"/>
        <v>0</v>
      </c>
      <c r="I33" s="33">
        <f t="shared" si="1"/>
        <v>0</v>
      </c>
      <c r="J33" s="1"/>
      <c r="K33" s="1"/>
      <c r="L33" s="1"/>
      <c r="M33" s="1"/>
      <c r="N33" s="1"/>
    </row>
    <row r="34" spans="1:14" ht="15">
      <c r="A34" s="11" t="s">
        <v>112</v>
      </c>
      <c r="B34" s="85">
        <f aca="true" t="shared" si="7" ref="B34:G34">SUM(B35:B35)</f>
        <v>0</v>
      </c>
      <c r="C34" s="85">
        <f t="shared" si="7"/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93">
        <f t="shared" si="1"/>
        <v>0</v>
      </c>
      <c r="I34" s="93">
        <f t="shared" si="1"/>
        <v>0</v>
      </c>
      <c r="J34" s="1"/>
      <c r="K34" s="1"/>
      <c r="L34" s="1"/>
      <c r="M34" s="1"/>
      <c r="N34" s="1"/>
    </row>
    <row r="35" spans="1:14" ht="15">
      <c r="A35" s="3" t="s">
        <v>113</v>
      </c>
      <c r="B35" s="87"/>
      <c r="C35" s="87"/>
      <c r="D35" s="4">
        <v>0</v>
      </c>
      <c r="E35" s="4"/>
      <c r="F35" s="4"/>
      <c r="G35" s="167"/>
      <c r="H35" s="33">
        <f t="shared" si="1"/>
        <v>0</v>
      </c>
      <c r="I35" s="33">
        <f t="shared" si="1"/>
        <v>0</v>
      </c>
      <c r="J35" s="1"/>
      <c r="K35" s="1"/>
      <c r="L35" s="1"/>
      <c r="M35" s="1"/>
      <c r="N35" s="1"/>
    </row>
    <row r="36" spans="1:14" ht="15">
      <c r="A36" s="3"/>
      <c r="B36" s="87"/>
      <c r="C36" s="87"/>
      <c r="D36" s="4"/>
      <c r="E36" s="4"/>
      <c r="F36" s="4"/>
      <c r="G36" s="167"/>
      <c r="H36" s="33">
        <f t="shared" si="1"/>
        <v>0</v>
      </c>
      <c r="I36" s="33">
        <f t="shared" si="1"/>
        <v>0</v>
      </c>
      <c r="J36" s="1"/>
      <c r="K36" s="1"/>
      <c r="L36" s="1"/>
      <c r="M36" s="1"/>
      <c r="N36" s="1"/>
    </row>
    <row r="37" spans="1:14" ht="15">
      <c r="A37" s="13" t="s">
        <v>114</v>
      </c>
      <c r="B37" s="86">
        <f aca="true" t="shared" si="8" ref="B37:G37">B22+B19+B16+B8+B5+B30+B34</f>
        <v>987309</v>
      </c>
      <c r="C37" s="86">
        <f t="shared" si="8"/>
        <v>970136</v>
      </c>
      <c r="D37" s="14">
        <f t="shared" si="8"/>
        <v>118073</v>
      </c>
      <c r="E37" s="14">
        <f t="shared" si="8"/>
        <v>93723</v>
      </c>
      <c r="F37" s="14">
        <f t="shared" si="8"/>
        <v>79776</v>
      </c>
      <c r="G37" s="14">
        <f t="shared" si="8"/>
        <v>73423</v>
      </c>
      <c r="H37" s="95">
        <f t="shared" si="1"/>
        <v>1185158</v>
      </c>
      <c r="I37" s="95">
        <f t="shared" si="1"/>
        <v>1137282</v>
      </c>
      <c r="J37" s="1"/>
      <c r="K37" s="1"/>
      <c r="L37" s="1"/>
      <c r="M37" s="1"/>
      <c r="N37" s="1"/>
    </row>
    <row r="38" spans="1:14" ht="15">
      <c r="A38" s="3"/>
      <c r="B38" s="87"/>
      <c r="C38" s="87"/>
      <c r="D38" s="4"/>
      <c r="E38" s="4"/>
      <c r="F38" s="4"/>
      <c r="G38" s="167"/>
      <c r="H38" s="33">
        <f t="shared" si="1"/>
        <v>0</v>
      </c>
      <c r="I38" s="33">
        <f t="shared" si="1"/>
        <v>0</v>
      </c>
      <c r="J38" s="1"/>
      <c r="K38" s="1"/>
      <c r="L38" s="1"/>
      <c r="M38" s="1"/>
      <c r="N38" s="1"/>
    </row>
    <row r="39" spans="1:14" ht="15" customHeight="1">
      <c r="A39" s="108" t="s">
        <v>115</v>
      </c>
      <c r="B39" s="86">
        <f aca="true" t="shared" si="9" ref="B39:G39">B40+B43</f>
        <v>22276</v>
      </c>
      <c r="C39" s="86">
        <f t="shared" si="9"/>
        <v>22278</v>
      </c>
      <c r="D39" s="14">
        <f t="shared" si="9"/>
        <v>105705</v>
      </c>
      <c r="E39" s="14">
        <f t="shared" si="9"/>
        <v>105806</v>
      </c>
      <c r="F39" s="14">
        <f t="shared" si="9"/>
        <v>40271</v>
      </c>
      <c r="G39" s="14">
        <f t="shared" si="9"/>
        <v>39813</v>
      </c>
      <c r="H39" s="95">
        <f t="shared" si="1"/>
        <v>168252</v>
      </c>
      <c r="I39" s="95">
        <f t="shared" si="1"/>
        <v>167897</v>
      </c>
      <c r="J39" s="1"/>
      <c r="K39" s="1"/>
      <c r="L39" s="1"/>
      <c r="M39" s="1"/>
      <c r="N39" s="1"/>
    </row>
    <row r="40" spans="1:14" ht="15">
      <c r="A40" s="6" t="s">
        <v>5</v>
      </c>
      <c r="B40" s="84">
        <f aca="true" t="shared" si="10" ref="B40:G40">SUM(B41:B42)</f>
        <v>22276</v>
      </c>
      <c r="C40" s="84">
        <f t="shared" si="10"/>
        <v>22278</v>
      </c>
      <c r="D40" s="7">
        <f t="shared" si="10"/>
        <v>105705</v>
      </c>
      <c r="E40" s="7">
        <f t="shared" si="10"/>
        <v>105806</v>
      </c>
      <c r="F40" s="7">
        <f t="shared" si="10"/>
        <v>40271</v>
      </c>
      <c r="G40" s="7">
        <f t="shared" si="10"/>
        <v>39813</v>
      </c>
      <c r="H40" s="94">
        <f t="shared" si="1"/>
        <v>168252</v>
      </c>
      <c r="I40" s="94">
        <f t="shared" si="1"/>
        <v>167897</v>
      </c>
      <c r="J40" s="1"/>
      <c r="K40" s="1"/>
      <c r="L40" s="1"/>
      <c r="M40" s="1"/>
      <c r="N40" s="1"/>
    </row>
    <row r="41" spans="1:14" ht="15">
      <c r="A41" s="3" t="s">
        <v>6</v>
      </c>
      <c r="B41" s="106">
        <v>22276</v>
      </c>
      <c r="C41" s="106">
        <v>22278</v>
      </c>
      <c r="D41" s="62">
        <v>105705</v>
      </c>
      <c r="E41" s="62">
        <v>105806</v>
      </c>
      <c r="F41" s="62">
        <v>40271</v>
      </c>
      <c r="G41" s="169">
        <v>39813</v>
      </c>
      <c r="H41" s="33">
        <f t="shared" si="1"/>
        <v>168252</v>
      </c>
      <c r="I41" s="33">
        <f t="shared" si="1"/>
        <v>167897</v>
      </c>
      <c r="J41" s="1"/>
      <c r="K41" s="1"/>
      <c r="L41" s="1"/>
      <c r="M41" s="1"/>
      <c r="N41" s="1"/>
    </row>
    <row r="42" spans="1:14" ht="15">
      <c r="A42" s="3" t="s">
        <v>7</v>
      </c>
      <c r="B42" s="87"/>
      <c r="C42" s="87"/>
      <c r="D42" s="4">
        <v>0</v>
      </c>
      <c r="E42" s="4"/>
      <c r="F42" s="4"/>
      <c r="G42" s="167"/>
      <c r="H42" s="33">
        <f t="shared" si="1"/>
        <v>0</v>
      </c>
      <c r="I42" s="33">
        <f t="shared" si="1"/>
        <v>0</v>
      </c>
      <c r="J42" s="1"/>
      <c r="K42" s="1"/>
      <c r="L42" s="1"/>
      <c r="M42" s="1"/>
      <c r="N42" s="1"/>
    </row>
    <row r="43" spans="1:14" ht="15">
      <c r="A43" s="6" t="s">
        <v>8</v>
      </c>
      <c r="B43" s="84">
        <f>SUM(B44:B45)</f>
        <v>0</v>
      </c>
      <c r="C43" s="84">
        <f>SUM(C44:C45)</f>
        <v>0</v>
      </c>
      <c r="D43" s="7">
        <f>SUM(D44:D45)</f>
        <v>0</v>
      </c>
      <c r="E43" s="7"/>
      <c r="F43" s="7">
        <f>SUM(F44:F45)</f>
        <v>0</v>
      </c>
      <c r="G43" s="168"/>
      <c r="H43" s="94">
        <f t="shared" si="1"/>
        <v>0</v>
      </c>
      <c r="I43" s="94">
        <f t="shared" si="1"/>
        <v>0</v>
      </c>
      <c r="J43" s="1"/>
      <c r="K43" s="1"/>
      <c r="L43" s="1"/>
      <c r="M43" s="1"/>
      <c r="N43" s="1"/>
    </row>
    <row r="44" spans="1:14" ht="15">
      <c r="A44" s="3" t="s">
        <v>9</v>
      </c>
      <c r="B44" s="87"/>
      <c r="C44" s="87"/>
      <c r="D44" s="4">
        <v>0</v>
      </c>
      <c r="E44" s="4"/>
      <c r="F44" s="4"/>
      <c r="G44" s="167"/>
      <c r="H44" s="33">
        <f t="shared" si="1"/>
        <v>0</v>
      </c>
      <c r="I44" s="33">
        <f t="shared" si="1"/>
        <v>0</v>
      </c>
      <c r="J44" s="1"/>
      <c r="K44" s="1"/>
      <c r="L44" s="1"/>
      <c r="M44" s="1"/>
      <c r="N44" s="1"/>
    </row>
    <row r="45" spans="1:14" ht="15">
      <c r="A45" s="3" t="s">
        <v>10</v>
      </c>
      <c r="B45" s="87"/>
      <c r="C45" s="87"/>
      <c r="D45" s="4">
        <v>0</v>
      </c>
      <c r="E45" s="4"/>
      <c r="F45" s="4"/>
      <c r="G45" s="167"/>
      <c r="H45" s="33">
        <f t="shared" si="1"/>
        <v>0</v>
      </c>
      <c r="I45" s="33">
        <f t="shared" si="1"/>
        <v>0</v>
      </c>
      <c r="J45" s="1"/>
      <c r="K45" s="1"/>
      <c r="L45" s="1"/>
      <c r="M45" s="1"/>
      <c r="N45" s="1"/>
    </row>
    <row r="46" spans="1:14" ht="15">
      <c r="A46" s="147" t="s">
        <v>137</v>
      </c>
      <c r="B46" s="148">
        <f aca="true" t="shared" si="11" ref="B46:I46">B47+B48</f>
        <v>0</v>
      </c>
      <c r="C46" s="148">
        <f t="shared" si="11"/>
        <v>0</v>
      </c>
      <c r="D46" s="14">
        <f t="shared" si="11"/>
        <v>0</v>
      </c>
      <c r="E46" s="14">
        <f t="shared" si="11"/>
        <v>0</v>
      </c>
      <c r="F46" s="14">
        <f t="shared" si="11"/>
        <v>0</v>
      </c>
      <c r="G46" s="14">
        <f t="shared" si="11"/>
        <v>0</v>
      </c>
      <c r="H46" s="95">
        <f t="shared" si="11"/>
        <v>0</v>
      </c>
      <c r="I46" s="95">
        <f t="shared" si="11"/>
        <v>0</v>
      </c>
      <c r="J46" s="1"/>
      <c r="K46" s="1"/>
      <c r="L46" s="1"/>
      <c r="M46" s="1"/>
      <c r="N46" s="1"/>
    </row>
    <row r="47" spans="1:14" ht="15">
      <c r="A47" s="6" t="s">
        <v>138</v>
      </c>
      <c r="B47" s="87"/>
      <c r="C47" s="87"/>
      <c r="D47" s="4"/>
      <c r="E47" s="4"/>
      <c r="F47" s="4"/>
      <c r="G47" s="167"/>
      <c r="H47" s="33">
        <f t="shared" si="1"/>
        <v>0</v>
      </c>
      <c r="I47" s="33">
        <f t="shared" si="1"/>
        <v>0</v>
      </c>
      <c r="J47" s="1"/>
      <c r="K47" s="1"/>
      <c r="L47" s="1"/>
      <c r="M47" s="1"/>
      <c r="N47" s="1"/>
    </row>
    <row r="48" spans="1:14" ht="15">
      <c r="A48" s="6" t="s">
        <v>139</v>
      </c>
      <c r="B48" s="87"/>
      <c r="C48" s="87"/>
      <c r="D48" s="4"/>
      <c r="E48" s="4"/>
      <c r="F48" s="4"/>
      <c r="G48" s="167"/>
      <c r="H48" s="33">
        <f t="shared" si="1"/>
        <v>0</v>
      </c>
      <c r="I48" s="33">
        <f t="shared" si="1"/>
        <v>0</v>
      </c>
      <c r="J48" s="1"/>
      <c r="K48" s="1"/>
      <c r="L48" s="1"/>
      <c r="M48" s="1"/>
      <c r="N48" s="1"/>
    </row>
    <row r="49" spans="1:14" ht="15.75" thickBot="1">
      <c r="A49" s="96" t="s">
        <v>11</v>
      </c>
      <c r="B49" s="97">
        <f aca="true" t="shared" si="12" ref="B49:I49">B39+B37+B46</f>
        <v>1009585</v>
      </c>
      <c r="C49" s="97">
        <f t="shared" si="12"/>
        <v>992414</v>
      </c>
      <c r="D49" s="98">
        <f t="shared" si="12"/>
        <v>223778</v>
      </c>
      <c r="E49" s="98">
        <f t="shared" si="12"/>
        <v>199529</v>
      </c>
      <c r="F49" s="98">
        <f t="shared" si="12"/>
        <v>120047</v>
      </c>
      <c r="G49" s="98">
        <f t="shared" si="12"/>
        <v>113236</v>
      </c>
      <c r="H49" s="99">
        <f t="shared" si="12"/>
        <v>1353410</v>
      </c>
      <c r="I49" s="99">
        <f t="shared" si="12"/>
        <v>1305179</v>
      </c>
      <c r="J49" s="1"/>
      <c r="K49" s="1"/>
      <c r="L49" s="1"/>
      <c r="M49" s="1"/>
      <c r="N49" s="1"/>
    </row>
    <row r="50" spans="1:9" ht="15.75" thickBot="1">
      <c r="A50" s="100" t="s">
        <v>67</v>
      </c>
      <c r="B50" s="101"/>
      <c r="C50" s="101"/>
      <c r="D50" s="102"/>
      <c r="E50" s="102"/>
      <c r="F50" s="102"/>
      <c r="G50" s="102"/>
      <c r="H50" s="102"/>
      <c r="I50" s="102"/>
    </row>
  </sheetData>
  <sheetProtection/>
  <printOptions/>
  <pageMargins left="0.7" right="0.7" top="0.75" bottom="0.75" header="0.3" footer="0.3"/>
  <pageSetup horizontalDpi="600" verticalDpi="600" orientation="portrait" paperSize="9" scale="37" r:id="rId2"/>
  <headerFooter>
    <oddHeader>&amp;L&amp;G&amp;C.../2020 (II.19.) számú határozat
a Marcali Kistérségi Többcélú Társulás
2019. évi költségvetésének módosításáról</oddHeader>
    <oddFooter>&amp;C&amp;P. oldal</oddFooter>
  </headerFooter>
  <colBreaks count="1" manualBreakCount="1">
    <brk id="9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46"/>
  <sheetViews>
    <sheetView tabSelected="1" view="pageBreakPreview" zoomScale="148" zoomScaleSheetLayoutView="148" workbookViewId="0" topLeftCell="E1">
      <selection activeCell="D1" sqref="D1"/>
    </sheetView>
  </sheetViews>
  <sheetFormatPr defaultColWidth="9.140625" defaultRowHeight="15"/>
  <cols>
    <col min="2" max="2" width="53.57421875" style="0" customWidth="1"/>
    <col min="3" max="3" width="16.57421875" style="0" customWidth="1"/>
    <col min="4" max="4" width="19.8515625" style="0" customWidth="1"/>
    <col min="5" max="5" width="12.57421875" style="0" customWidth="1"/>
    <col min="6" max="6" width="15.421875" style="0" customWidth="1"/>
    <col min="7" max="7" width="20.00390625" style="0" customWidth="1"/>
    <col min="8" max="8" width="19.8515625" style="0" customWidth="1"/>
    <col min="13" max="13" width="9.8515625" style="0" bestFit="1" customWidth="1"/>
  </cols>
  <sheetData>
    <row r="1" ht="15">
      <c r="A1" t="s">
        <v>184</v>
      </c>
    </row>
    <row r="3" spans="1:8" ht="15.75" thickBot="1">
      <c r="A3" s="2" t="s">
        <v>165</v>
      </c>
      <c r="H3" s="15" t="s">
        <v>171</v>
      </c>
    </row>
    <row r="4" spans="1:8" ht="51">
      <c r="A4" s="203"/>
      <c r="B4" s="186" t="s">
        <v>172</v>
      </c>
      <c r="C4" s="186" t="s">
        <v>173</v>
      </c>
      <c r="D4" s="186" t="s">
        <v>174</v>
      </c>
      <c r="E4" s="187" t="s">
        <v>175</v>
      </c>
      <c r="F4" s="186" t="s">
        <v>185</v>
      </c>
      <c r="G4" s="186" t="s">
        <v>186</v>
      </c>
      <c r="H4" s="187" t="s">
        <v>187</v>
      </c>
    </row>
    <row r="5" spans="1:8" ht="16.5" customHeight="1">
      <c r="A5" s="39" t="s">
        <v>154</v>
      </c>
      <c r="B5" s="16" t="s">
        <v>264</v>
      </c>
      <c r="C5" s="204">
        <v>13</v>
      </c>
      <c r="D5" s="204"/>
      <c r="E5" s="205">
        <f>SUM(C5:D5)</f>
        <v>13</v>
      </c>
      <c r="F5" s="204">
        <v>13</v>
      </c>
      <c r="G5" s="204"/>
      <c r="H5" s="205">
        <f aca="true" t="shared" si="0" ref="H5:H13">SUM(F5:G5)</f>
        <v>13</v>
      </c>
    </row>
    <row r="6" spans="1:8" ht="16.5" customHeight="1">
      <c r="A6" s="39" t="s">
        <v>155</v>
      </c>
      <c r="B6" s="16" t="s">
        <v>265</v>
      </c>
      <c r="C6" s="204">
        <v>12</v>
      </c>
      <c r="D6" s="204"/>
      <c r="E6" s="205">
        <f>SUM(C6:D6)</f>
        <v>12</v>
      </c>
      <c r="F6" s="204">
        <v>12</v>
      </c>
      <c r="G6" s="204"/>
      <c r="H6" s="205">
        <f t="shared" si="0"/>
        <v>12</v>
      </c>
    </row>
    <row r="7" spans="1:8" ht="16.5" customHeight="1">
      <c r="A7" s="39" t="s">
        <v>161</v>
      </c>
      <c r="B7" s="16" t="s">
        <v>266</v>
      </c>
      <c r="C7" s="204">
        <v>3</v>
      </c>
      <c r="D7" s="204"/>
      <c r="E7" s="205">
        <f>SUM(C7:D7)</f>
        <v>3</v>
      </c>
      <c r="F7" s="204">
        <v>3</v>
      </c>
      <c r="G7" s="204"/>
      <c r="H7" s="205">
        <f t="shared" si="0"/>
        <v>3</v>
      </c>
    </row>
    <row r="8" spans="1:8" ht="16.5" customHeight="1">
      <c r="A8" s="39" t="s">
        <v>166</v>
      </c>
      <c r="B8" s="16" t="s">
        <v>267</v>
      </c>
      <c r="C8" s="204">
        <v>7</v>
      </c>
      <c r="D8" s="204"/>
      <c r="E8" s="205">
        <f>SUM(C8:D8)</f>
        <v>7</v>
      </c>
      <c r="F8" s="204">
        <v>7</v>
      </c>
      <c r="G8" s="204"/>
      <c r="H8" s="205">
        <f t="shared" si="0"/>
        <v>7</v>
      </c>
    </row>
    <row r="9" spans="1:8" ht="16.5" customHeight="1">
      <c r="A9" s="39" t="s">
        <v>176</v>
      </c>
      <c r="B9" s="16" t="s">
        <v>268</v>
      </c>
      <c r="C9" s="204">
        <v>43</v>
      </c>
      <c r="D9" s="204"/>
      <c r="E9" s="205">
        <f>SUM(C9:D9)</f>
        <v>43</v>
      </c>
      <c r="F9" s="204">
        <v>43</v>
      </c>
      <c r="G9" s="204"/>
      <c r="H9" s="205">
        <f t="shared" si="0"/>
        <v>43</v>
      </c>
    </row>
    <row r="10" spans="1:8" ht="16.5" customHeight="1">
      <c r="A10" s="39" t="s">
        <v>177</v>
      </c>
      <c r="B10" s="16" t="s">
        <v>269</v>
      </c>
      <c r="C10" s="204"/>
      <c r="D10" s="204"/>
      <c r="E10" s="205"/>
      <c r="F10" s="204">
        <v>4</v>
      </c>
      <c r="G10" s="204"/>
      <c r="H10" s="205">
        <f t="shared" si="0"/>
        <v>4</v>
      </c>
    </row>
    <row r="11" spans="1:8" ht="16.5" customHeight="1">
      <c r="A11" s="39" t="s">
        <v>181</v>
      </c>
      <c r="B11" s="16" t="s">
        <v>270</v>
      </c>
      <c r="C11" s="204"/>
      <c r="D11" s="204"/>
      <c r="E11" s="205"/>
      <c r="F11" s="204">
        <v>1</v>
      </c>
      <c r="G11" s="204"/>
      <c r="H11" s="205">
        <f t="shared" si="0"/>
        <v>1</v>
      </c>
    </row>
    <row r="12" spans="1:8" ht="16.5" customHeight="1">
      <c r="A12" s="39" t="s">
        <v>182</v>
      </c>
      <c r="B12" s="16"/>
      <c r="C12" s="204"/>
      <c r="D12" s="204"/>
      <c r="E12" s="205"/>
      <c r="F12" s="204"/>
      <c r="G12" s="204"/>
      <c r="H12" s="205">
        <f t="shared" si="0"/>
        <v>0</v>
      </c>
    </row>
    <row r="13" spans="1:8" ht="16.5" customHeight="1">
      <c r="A13" s="39" t="s">
        <v>188</v>
      </c>
      <c r="B13" s="16"/>
      <c r="C13" s="204"/>
      <c r="D13" s="204"/>
      <c r="E13" s="205"/>
      <c r="F13" s="204"/>
      <c r="G13" s="204"/>
      <c r="H13" s="205">
        <f t="shared" si="0"/>
        <v>0</v>
      </c>
    </row>
    <row r="14" spans="1:8" ht="15.75" thickBot="1">
      <c r="A14" s="206"/>
      <c r="B14" s="45" t="s">
        <v>178</v>
      </c>
      <c r="C14" s="207">
        <f aca="true" t="shared" si="1" ref="C14:H14">SUM(C5:C13)</f>
        <v>78</v>
      </c>
      <c r="D14" s="207">
        <f t="shared" si="1"/>
        <v>0</v>
      </c>
      <c r="E14" s="207">
        <f t="shared" si="1"/>
        <v>78</v>
      </c>
      <c r="F14" s="207">
        <f t="shared" si="1"/>
        <v>83</v>
      </c>
      <c r="G14" s="207">
        <f t="shared" si="1"/>
        <v>0</v>
      </c>
      <c r="H14" s="207">
        <f t="shared" si="1"/>
        <v>83</v>
      </c>
    </row>
    <row r="15" spans="1:5" ht="25.5" customHeight="1">
      <c r="A15" s="252" t="s">
        <v>179</v>
      </c>
      <c r="B15" s="252"/>
      <c r="C15" s="252"/>
      <c r="D15" s="252"/>
      <c r="E15" s="252"/>
    </row>
    <row r="17" ht="15.75" thickBot="1">
      <c r="H17" s="10" t="s">
        <v>171</v>
      </c>
    </row>
    <row r="18" spans="1:8" ht="51">
      <c r="A18" s="253" t="s">
        <v>180</v>
      </c>
      <c r="B18" s="254"/>
      <c r="C18" s="186" t="s">
        <v>173</v>
      </c>
      <c r="D18" s="186" t="s">
        <v>174</v>
      </c>
      <c r="E18" s="187" t="s">
        <v>175</v>
      </c>
      <c r="F18" s="186" t="s">
        <v>185</v>
      </c>
      <c r="G18" s="186" t="s">
        <v>186</v>
      </c>
      <c r="H18" s="187" t="s">
        <v>187</v>
      </c>
    </row>
    <row r="19" spans="1:14" ht="15">
      <c r="A19" s="39" t="s">
        <v>154</v>
      </c>
      <c r="B19" s="16" t="s">
        <v>264</v>
      </c>
      <c r="C19" s="204">
        <v>31</v>
      </c>
      <c r="D19" s="204"/>
      <c r="E19" s="205">
        <f>SUM(C19:D19)</f>
        <v>31</v>
      </c>
      <c r="F19" s="204">
        <v>31</v>
      </c>
      <c r="G19" s="204"/>
      <c r="H19" s="205">
        <f aca="true" t="shared" si="2" ref="H19:H25">SUM(F19:G19)</f>
        <v>31</v>
      </c>
      <c r="I19" s="1"/>
      <c r="M19" s="1"/>
      <c r="N19" s="1"/>
    </row>
    <row r="20" spans="1:9" ht="15">
      <c r="A20" s="39" t="s">
        <v>155</v>
      </c>
      <c r="B20" s="16" t="s">
        <v>265</v>
      </c>
      <c r="C20" s="204">
        <v>20</v>
      </c>
      <c r="D20" s="204"/>
      <c r="E20" s="205">
        <f>SUM(C20:D20)</f>
        <v>20</v>
      </c>
      <c r="F20" s="204">
        <v>20</v>
      </c>
      <c r="G20" s="204"/>
      <c r="H20" s="205">
        <f t="shared" si="2"/>
        <v>20</v>
      </c>
      <c r="I20" s="1"/>
    </row>
    <row r="21" spans="1:9" ht="15">
      <c r="A21" s="39" t="s">
        <v>161</v>
      </c>
      <c r="B21" s="16" t="s">
        <v>266</v>
      </c>
      <c r="C21" s="204">
        <v>20</v>
      </c>
      <c r="D21" s="204"/>
      <c r="E21" s="205">
        <f>SUM(C21:D21)</f>
        <v>20</v>
      </c>
      <c r="F21" s="204">
        <v>20</v>
      </c>
      <c r="G21" s="204"/>
      <c r="H21" s="205">
        <f t="shared" si="2"/>
        <v>20</v>
      </c>
      <c r="I21" s="1"/>
    </row>
    <row r="22" spans="1:9" ht="15">
      <c r="A22" s="39" t="s">
        <v>166</v>
      </c>
      <c r="B22" s="16" t="s">
        <v>267</v>
      </c>
      <c r="C22" s="204">
        <v>30</v>
      </c>
      <c r="D22" s="204"/>
      <c r="E22" s="205">
        <f>SUM(C22:D22)</f>
        <v>30</v>
      </c>
      <c r="F22" s="204">
        <v>30</v>
      </c>
      <c r="G22" s="204"/>
      <c r="H22" s="205">
        <f t="shared" si="2"/>
        <v>30</v>
      </c>
      <c r="I22" s="1"/>
    </row>
    <row r="23" spans="1:9" ht="15">
      <c r="A23" s="39" t="s">
        <v>176</v>
      </c>
      <c r="B23" s="16" t="s">
        <v>268</v>
      </c>
      <c r="C23" s="204">
        <v>52</v>
      </c>
      <c r="D23" s="204"/>
      <c r="E23" s="205">
        <f>SUM(C23:D23)</f>
        <v>52</v>
      </c>
      <c r="F23" s="204">
        <v>52</v>
      </c>
      <c r="G23" s="204"/>
      <c r="H23" s="205">
        <f t="shared" si="2"/>
        <v>52</v>
      </c>
      <c r="I23" s="1"/>
    </row>
    <row r="24" spans="1:9" ht="15">
      <c r="A24" s="39" t="s">
        <v>177</v>
      </c>
      <c r="B24" s="16" t="s">
        <v>269</v>
      </c>
      <c r="C24" s="204"/>
      <c r="D24" s="204"/>
      <c r="E24" s="205"/>
      <c r="F24" s="204">
        <v>52</v>
      </c>
      <c r="G24" s="204"/>
      <c r="H24" s="205">
        <f t="shared" si="2"/>
        <v>52</v>
      </c>
      <c r="I24" s="1"/>
    </row>
    <row r="25" spans="1:9" ht="15">
      <c r="A25" s="39" t="s">
        <v>181</v>
      </c>
      <c r="B25" s="16" t="s">
        <v>270</v>
      </c>
      <c r="C25" s="204"/>
      <c r="D25" s="204"/>
      <c r="E25" s="205"/>
      <c r="F25" s="204">
        <v>13</v>
      </c>
      <c r="G25" s="204"/>
      <c r="H25" s="205">
        <f t="shared" si="2"/>
        <v>13</v>
      </c>
      <c r="I25" s="1"/>
    </row>
    <row r="26" spans="1:9" ht="15">
      <c r="A26" s="39" t="s">
        <v>182</v>
      </c>
      <c r="B26" s="16"/>
      <c r="C26" s="204"/>
      <c r="D26" s="204"/>
      <c r="E26" s="205"/>
      <c r="F26" s="204"/>
      <c r="G26" s="204"/>
      <c r="H26" s="205"/>
      <c r="I26" s="1"/>
    </row>
    <row r="27" spans="1:9" ht="15">
      <c r="A27" s="39" t="s">
        <v>188</v>
      </c>
      <c r="B27" s="16"/>
      <c r="C27" s="204"/>
      <c r="D27" s="204"/>
      <c r="E27" s="205"/>
      <c r="F27" s="204"/>
      <c r="G27" s="204"/>
      <c r="H27" s="205"/>
      <c r="I27" s="1"/>
    </row>
    <row r="28" spans="1:9" ht="15">
      <c r="A28" s="39" t="s">
        <v>189</v>
      </c>
      <c r="B28" s="16"/>
      <c r="C28" s="204"/>
      <c r="D28" s="204"/>
      <c r="E28" s="205"/>
      <c r="F28" s="204"/>
      <c r="G28" s="204"/>
      <c r="H28" s="205"/>
      <c r="I28" s="1"/>
    </row>
    <row r="29" spans="1:9" ht="15">
      <c r="A29" s="39" t="s">
        <v>190</v>
      </c>
      <c r="B29" s="16"/>
      <c r="C29" s="204"/>
      <c r="D29" s="204"/>
      <c r="E29" s="205"/>
      <c r="F29" s="204"/>
      <c r="G29" s="204"/>
      <c r="H29" s="205"/>
      <c r="I29" s="1"/>
    </row>
    <row r="30" spans="1:8" ht="15.75" thickBot="1">
      <c r="A30" s="206"/>
      <c r="B30" s="45" t="s">
        <v>178</v>
      </c>
      <c r="C30" s="207">
        <f aca="true" t="shared" si="3" ref="C30:H30">SUM(C19:C29)</f>
        <v>153</v>
      </c>
      <c r="D30" s="207">
        <f t="shared" si="3"/>
        <v>0</v>
      </c>
      <c r="E30" s="207">
        <f t="shared" si="3"/>
        <v>153</v>
      </c>
      <c r="F30" s="207">
        <f t="shared" si="3"/>
        <v>218</v>
      </c>
      <c r="G30" s="207">
        <f t="shared" si="3"/>
        <v>0</v>
      </c>
      <c r="H30" s="207">
        <f t="shared" si="3"/>
        <v>218</v>
      </c>
    </row>
    <row r="31" spans="7:8" ht="15">
      <c r="G31" s="1"/>
      <c r="H31" s="1"/>
    </row>
    <row r="33" spans="1:8" ht="15.75" thickBot="1">
      <c r="A33" s="2" t="s">
        <v>183</v>
      </c>
      <c r="H33" s="15" t="s">
        <v>171</v>
      </c>
    </row>
    <row r="34" spans="1:8" ht="51">
      <c r="A34" s="203"/>
      <c r="B34" s="186" t="s">
        <v>172</v>
      </c>
      <c r="C34" s="186" t="s">
        <v>173</v>
      </c>
      <c r="D34" s="186" t="s">
        <v>174</v>
      </c>
      <c r="E34" s="187" t="s">
        <v>175</v>
      </c>
      <c r="F34" s="186" t="s">
        <v>185</v>
      </c>
      <c r="G34" s="186" t="s">
        <v>186</v>
      </c>
      <c r="H34" s="187" t="s">
        <v>187</v>
      </c>
    </row>
    <row r="35" spans="1:8" ht="15">
      <c r="A35" s="39">
        <v>1</v>
      </c>
      <c r="B35" s="63" t="s">
        <v>191</v>
      </c>
      <c r="C35" s="204"/>
      <c r="D35" s="204"/>
      <c r="E35" s="205"/>
      <c r="F35" s="204">
        <v>2</v>
      </c>
      <c r="G35" s="204"/>
      <c r="H35" s="205">
        <f>SUM(F35:G35)</f>
        <v>2</v>
      </c>
    </row>
    <row r="36" spans="1:8" ht="15">
      <c r="A36" s="39"/>
      <c r="B36" s="16"/>
      <c r="C36" s="204"/>
      <c r="D36" s="204"/>
      <c r="E36" s="205"/>
      <c r="F36" s="204"/>
      <c r="G36" s="204"/>
      <c r="H36" s="205">
        <f>SUM(F36:G36)</f>
        <v>0</v>
      </c>
    </row>
    <row r="37" spans="1:8" ht="15.75" thickBot="1">
      <c r="A37" s="206"/>
      <c r="B37" s="45" t="s">
        <v>178</v>
      </c>
      <c r="C37" s="207">
        <f aca="true" t="shared" si="4" ref="C37:H37">SUM(C35:C36)</f>
        <v>0</v>
      </c>
      <c r="D37" s="207">
        <f t="shared" si="4"/>
        <v>0</v>
      </c>
      <c r="E37" s="207">
        <f t="shared" si="4"/>
        <v>0</v>
      </c>
      <c r="F37" s="207">
        <f t="shared" si="4"/>
        <v>2</v>
      </c>
      <c r="G37" s="207">
        <f t="shared" si="4"/>
        <v>0</v>
      </c>
      <c r="H37" s="207">
        <f t="shared" si="4"/>
        <v>2</v>
      </c>
    </row>
    <row r="38" spans="1:5" ht="15">
      <c r="A38" s="252" t="s">
        <v>179</v>
      </c>
      <c r="B38" s="252"/>
      <c r="C38" s="252"/>
      <c r="D38" s="252"/>
      <c r="E38" s="252"/>
    </row>
    <row r="41" spans="1:8" ht="15.75" thickBot="1">
      <c r="A41" s="2" t="s">
        <v>162</v>
      </c>
      <c r="H41" s="15" t="s">
        <v>171</v>
      </c>
    </row>
    <row r="42" spans="1:8" ht="51">
      <c r="A42" s="203"/>
      <c r="B42" s="186" t="s">
        <v>172</v>
      </c>
      <c r="C42" s="186" t="s">
        <v>173</v>
      </c>
      <c r="D42" s="186" t="s">
        <v>174</v>
      </c>
      <c r="E42" s="187" t="s">
        <v>175</v>
      </c>
      <c r="F42" s="186" t="s">
        <v>185</v>
      </c>
      <c r="G42" s="186" t="s">
        <v>186</v>
      </c>
      <c r="H42" s="187" t="s">
        <v>187</v>
      </c>
    </row>
    <row r="43" spans="1:8" ht="15">
      <c r="A43" s="39"/>
      <c r="B43" s="16"/>
      <c r="C43" s="204"/>
      <c r="D43" s="204"/>
      <c r="E43" s="205"/>
      <c r="F43" s="204"/>
      <c r="G43" s="204"/>
      <c r="H43" s="205">
        <f>SUM(F43:G43)</f>
        <v>0</v>
      </c>
    </row>
    <row r="44" spans="1:8" ht="15">
      <c r="A44" s="39"/>
      <c r="B44" s="16"/>
      <c r="C44" s="204"/>
      <c r="D44" s="204"/>
      <c r="E44" s="205"/>
      <c r="F44" s="204"/>
      <c r="G44" s="204"/>
      <c r="H44" s="205">
        <f>SUM(F44:G44)</f>
        <v>0</v>
      </c>
    </row>
    <row r="45" spans="1:8" ht="15.75" thickBot="1">
      <c r="A45" s="206"/>
      <c r="B45" s="45" t="s">
        <v>178</v>
      </c>
      <c r="C45" s="207">
        <f aca="true" t="shared" si="5" ref="C45:H45">SUM(C43:C44)</f>
        <v>0</v>
      </c>
      <c r="D45" s="207">
        <f t="shared" si="5"/>
        <v>0</v>
      </c>
      <c r="E45" s="207">
        <f t="shared" si="5"/>
        <v>0</v>
      </c>
      <c r="F45" s="207">
        <f t="shared" si="5"/>
        <v>0</v>
      </c>
      <c r="G45" s="207">
        <f t="shared" si="5"/>
        <v>0</v>
      </c>
      <c r="H45" s="207">
        <f t="shared" si="5"/>
        <v>0</v>
      </c>
    </row>
    <row r="46" spans="1:5" ht="15">
      <c r="A46" s="252" t="s">
        <v>179</v>
      </c>
      <c r="B46" s="252"/>
      <c r="C46" s="252"/>
      <c r="D46" s="252"/>
      <c r="E46" s="252"/>
    </row>
  </sheetData>
  <sheetProtection/>
  <mergeCells count="4">
    <mergeCell ref="A15:E15"/>
    <mergeCell ref="A18:B18"/>
    <mergeCell ref="A38:E38"/>
    <mergeCell ref="A46:E46"/>
  </mergeCells>
  <printOptions/>
  <pageMargins left="0.7" right="0.7" top="0.75" bottom="0.75" header="0.3" footer="0.3"/>
  <pageSetup horizontalDpi="600" verticalDpi="600" orientation="landscape" paperSize="9" scale="57" r:id="rId2"/>
  <headerFooter>
    <oddHeader>&amp;L&amp;G&amp;C.../2020 (II.19.) számú határozat
a Marcali Kistérségi Többcélú Társulás
2019. évi költségvetésének módosításáról</oddHeader>
    <oddFooter>&amp;C&amp;P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N28"/>
  <sheetViews>
    <sheetView view="pageBreakPreview" zoomScale="136" zoomScaleNormal="80" zoomScaleSheetLayoutView="136" workbookViewId="0" topLeftCell="D1">
      <selection activeCell="E3" sqref="E3"/>
    </sheetView>
  </sheetViews>
  <sheetFormatPr defaultColWidth="9.140625" defaultRowHeight="15"/>
  <cols>
    <col min="1" max="1" width="40.57421875" style="0" customWidth="1"/>
    <col min="2" max="5" width="17.421875" style="0" customWidth="1"/>
    <col min="6" max="9" width="18.140625" style="0" customWidth="1"/>
    <col min="12" max="12" width="13.421875" style="0" bestFit="1" customWidth="1"/>
  </cols>
  <sheetData>
    <row r="2" spans="1:13" ht="15.75" thickBot="1">
      <c r="A2" s="2" t="s">
        <v>41</v>
      </c>
      <c r="B2" s="2"/>
      <c r="C2" s="2"/>
      <c r="D2" s="2"/>
      <c r="E2" s="2"/>
      <c r="F2" s="2"/>
      <c r="G2" s="2"/>
      <c r="H2" s="2"/>
      <c r="I2" s="15" t="s">
        <v>16</v>
      </c>
      <c r="K2" s="1"/>
      <c r="L2" s="1"/>
      <c r="M2" s="1"/>
    </row>
    <row r="3" spans="1:13" ht="67.5" customHeight="1">
      <c r="A3" s="46" t="s">
        <v>39</v>
      </c>
      <c r="B3" s="41" t="s">
        <v>193</v>
      </c>
      <c r="C3" s="41" t="s">
        <v>275</v>
      </c>
      <c r="D3" s="91" t="s">
        <v>194</v>
      </c>
      <c r="E3" s="91" t="s">
        <v>199</v>
      </c>
      <c r="F3" s="41" t="s">
        <v>195</v>
      </c>
      <c r="G3" s="41" t="s">
        <v>200</v>
      </c>
      <c r="H3" s="92" t="s">
        <v>196</v>
      </c>
      <c r="I3" s="92" t="s">
        <v>271</v>
      </c>
      <c r="M3" s="1"/>
    </row>
    <row r="4" spans="1:14" ht="15">
      <c r="A4" s="19" t="s">
        <v>18</v>
      </c>
      <c r="B4" s="12">
        <f aca="true" t="shared" si="0" ref="B4:G4">SUM(B5:B11)-B8</f>
        <v>161063</v>
      </c>
      <c r="C4" s="12">
        <f t="shared" si="0"/>
        <v>162594</v>
      </c>
      <c r="D4" s="12">
        <f t="shared" si="0"/>
        <v>435305</v>
      </c>
      <c r="E4" s="12">
        <f t="shared" si="0"/>
        <v>392653</v>
      </c>
      <c r="F4" s="12">
        <f t="shared" si="0"/>
        <v>555414</v>
      </c>
      <c r="G4" s="12">
        <f t="shared" si="0"/>
        <v>560606</v>
      </c>
      <c r="H4" s="93">
        <f aca="true" t="shared" si="1" ref="H4:I7">B4+D4+F4</f>
        <v>1151782</v>
      </c>
      <c r="I4" s="93">
        <f t="shared" si="1"/>
        <v>1115853</v>
      </c>
      <c r="K4" s="1"/>
      <c r="L4" s="1"/>
      <c r="M4" s="1"/>
      <c r="N4" s="1"/>
    </row>
    <row r="5" spans="1:14" ht="15">
      <c r="A5" s="16" t="s">
        <v>13</v>
      </c>
      <c r="B5" s="4">
        <v>74705</v>
      </c>
      <c r="C5" s="4">
        <v>74705</v>
      </c>
      <c r="D5" s="88">
        <v>258702</v>
      </c>
      <c r="E5" s="88">
        <f>D5+1609-3404-10215</f>
        <v>246692</v>
      </c>
      <c r="F5" s="88">
        <v>314649</v>
      </c>
      <c r="G5" s="88">
        <v>314649</v>
      </c>
      <c r="H5" s="33">
        <f t="shared" si="1"/>
        <v>648056</v>
      </c>
      <c r="I5" s="33">
        <f t="shared" si="1"/>
        <v>636046</v>
      </c>
      <c r="K5" s="1"/>
      <c r="L5" s="1"/>
      <c r="M5" s="1"/>
      <c r="N5" s="1"/>
    </row>
    <row r="6" spans="1:14" ht="25.5">
      <c r="A6" s="16" t="s">
        <v>77</v>
      </c>
      <c r="B6" s="4">
        <v>7284</v>
      </c>
      <c r="C6" s="4">
        <v>7284</v>
      </c>
      <c r="D6" s="88">
        <v>51174</v>
      </c>
      <c r="E6" s="88">
        <f>D6+273-596-1788</f>
        <v>49063</v>
      </c>
      <c r="F6" s="88">
        <v>67679</v>
      </c>
      <c r="G6" s="88">
        <v>67679</v>
      </c>
      <c r="H6" s="33">
        <f t="shared" si="1"/>
        <v>126137</v>
      </c>
      <c r="I6" s="33">
        <f t="shared" si="1"/>
        <v>124026</v>
      </c>
      <c r="K6" s="1"/>
      <c r="L6" s="1"/>
      <c r="M6" s="1"/>
      <c r="N6" s="1"/>
    </row>
    <row r="7" spans="1:14" ht="15">
      <c r="A7" s="16" t="s">
        <v>15</v>
      </c>
      <c r="B7" s="4">
        <v>63500</v>
      </c>
      <c r="C7" s="4">
        <f>63500+10600+-3571+5100+2</f>
        <v>75631</v>
      </c>
      <c r="D7" s="88">
        <v>125179</v>
      </c>
      <c r="E7" s="88">
        <f>D7-26131-2400</f>
        <v>96648</v>
      </c>
      <c r="F7" s="88">
        <v>173086</v>
      </c>
      <c r="G7" s="88">
        <f>F7+450+200-458+5000</f>
        <v>178278</v>
      </c>
      <c r="H7" s="33">
        <f t="shared" si="1"/>
        <v>361765</v>
      </c>
      <c r="I7" s="33">
        <f t="shared" si="1"/>
        <v>350557</v>
      </c>
      <c r="K7" s="1"/>
      <c r="L7" s="1"/>
      <c r="M7" s="1"/>
      <c r="N7" s="1"/>
    </row>
    <row r="8" spans="1:14" ht="15">
      <c r="A8" s="16" t="s">
        <v>73</v>
      </c>
      <c r="B8" s="21">
        <f>SUM(B9:B10)</f>
        <v>15574</v>
      </c>
      <c r="C8" s="21">
        <f>SUM(C9:C10)</f>
        <v>4974</v>
      </c>
      <c r="D8" s="21">
        <f>SUM(D9:D10)</f>
        <v>0</v>
      </c>
      <c r="E8" s="21"/>
      <c r="F8" s="21">
        <f>SUM(F9:F10)</f>
        <v>0</v>
      </c>
      <c r="G8" s="170"/>
      <c r="H8" s="33">
        <f>SUM(H9:H10)</f>
        <v>15574</v>
      </c>
      <c r="I8" s="33">
        <f>SUM(I9:I10)</f>
        <v>4974</v>
      </c>
      <c r="K8" s="1"/>
      <c r="L8" s="1"/>
      <c r="M8" s="1"/>
      <c r="N8" s="1"/>
    </row>
    <row r="9" spans="1:14" ht="18" customHeight="1">
      <c r="A9" s="109" t="s">
        <v>74</v>
      </c>
      <c r="B9" s="7">
        <v>4974</v>
      </c>
      <c r="C9" s="7">
        <v>4974</v>
      </c>
      <c r="D9" s="7"/>
      <c r="E9" s="7"/>
      <c r="F9" s="7"/>
      <c r="G9" s="168"/>
      <c r="H9" s="94">
        <f aca="true" t="shared" si="2" ref="H9:I15">B9+D9+F9</f>
        <v>4974</v>
      </c>
      <c r="I9" s="94">
        <f t="shared" si="2"/>
        <v>4974</v>
      </c>
      <c r="K9" s="1"/>
      <c r="L9" s="1"/>
      <c r="M9" s="1"/>
      <c r="N9" s="1"/>
    </row>
    <row r="10" spans="1:14" ht="15">
      <c r="A10" s="18" t="s">
        <v>75</v>
      </c>
      <c r="B10" s="7">
        <v>10600</v>
      </c>
      <c r="C10" s="7">
        <v>0</v>
      </c>
      <c r="D10" s="7"/>
      <c r="E10" s="7"/>
      <c r="F10" s="7"/>
      <c r="G10" s="168"/>
      <c r="H10" s="94">
        <f t="shared" si="2"/>
        <v>10600</v>
      </c>
      <c r="I10" s="94">
        <f t="shared" si="2"/>
        <v>0</v>
      </c>
      <c r="K10" s="1"/>
      <c r="L10" s="1"/>
      <c r="M10" s="1"/>
      <c r="N10" s="1"/>
    </row>
    <row r="11" spans="1:14" ht="15">
      <c r="A11" s="16" t="s">
        <v>76</v>
      </c>
      <c r="B11" s="21"/>
      <c r="C11" s="21"/>
      <c r="D11" s="4">
        <v>250</v>
      </c>
      <c r="E11" s="4">
        <v>250</v>
      </c>
      <c r="F11" s="4"/>
      <c r="G11" s="167"/>
      <c r="H11" s="33">
        <f t="shared" si="2"/>
        <v>250</v>
      </c>
      <c r="I11" s="33">
        <f t="shared" si="2"/>
        <v>250</v>
      </c>
      <c r="K11" s="1"/>
      <c r="L11" s="1"/>
      <c r="M11" s="1"/>
      <c r="N11" s="1"/>
    </row>
    <row r="12" spans="1:14" ht="15">
      <c r="A12" s="16"/>
      <c r="B12" s="21"/>
      <c r="C12" s="21"/>
      <c r="D12" s="4"/>
      <c r="E12" s="4"/>
      <c r="F12" s="4"/>
      <c r="G12" s="167"/>
      <c r="H12" s="33">
        <f t="shared" si="2"/>
        <v>0</v>
      </c>
      <c r="I12" s="33">
        <f t="shared" si="2"/>
        <v>0</v>
      </c>
      <c r="K12" s="1"/>
      <c r="L12" s="1"/>
      <c r="M12" s="1"/>
      <c r="N12" s="1"/>
    </row>
    <row r="13" spans="1:14" ht="15">
      <c r="A13" s="19" t="s">
        <v>23</v>
      </c>
      <c r="B13" s="12">
        <f aca="true" t="shared" si="3" ref="B13:G13">SUM(B14:B18)-B16</f>
        <v>0</v>
      </c>
      <c r="C13" s="12">
        <f t="shared" si="3"/>
        <v>3571</v>
      </c>
      <c r="D13" s="12">
        <f t="shared" si="3"/>
        <v>0</v>
      </c>
      <c r="E13" s="12">
        <f t="shared" si="3"/>
        <v>6400</v>
      </c>
      <c r="F13" s="89">
        <f t="shared" si="3"/>
        <v>0</v>
      </c>
      <c r="G13" s="89">
        <f t="shared" si="3"/>
        <v>0</v>
      </c>
      <c r="H13" s="93">
        <f t="shared" si="2"/>
        <v>0</v>
      </c>
      <c r="I13" s="93">
        <f t="shared" si="2"/>
        <v>9971</v>
      </c>
      <c r="K13" s="1"/>
      <c r="L13" s="1"/>
      <c r="M13" s="1"/>
      <c r="N13" s="1"/>
    </row>
    <row r="14" spans="1:14" ht="15">
      <c r="A14" s="16" t="s">
        <v>78</v>
      </c>
      <c r="B14" s="4"/>
      <c r="C14" s="4">
        <v>3571</v>
      </c>
      <c r="D14" s="4"/>
      <c r="E14" s="4">
        <v>6400</v>
      </c>
      <c r="F14" s="4"/>
      <c r="G14" s="4"/>
      <c r="H14" s="33">
        <f t="shared" si="2"/>
        <v>0</v>
      </c>
      <c r="I14" s="33">
        <f t="shared" si="2"/>
        <v>9971</v>
      </c>
      <c r="K14" s="1"/>
      <c r="L14" s="1"/>
      <c r="M14" s="1"/>
      <c r="N14" s="1"/>
    </row>
    <row r="15" spans="1:14" ht="15">
      <c r="A15" s="16" t="s">
        <v>81</v>
      </c>
      <c r="B15" s="4"/>
      <c r="C15" s="4"/>
      <c r="D15" s="4"/>
      <c r="E15" s="4"/>
      <c r="F15" s="4"/>
      <c r="G15" s="4"/>
      <c r="H15" s="33">
        <f t="shared" si="2"/>
        <v>0</v>
      </c>
      <c r="I15" s="33">
        <f t="shared" si="2"/>
        <v>0</v>
      </c>
      <c r="K15" s="1"/>
      <c r="L15" s="1"/>
      <c r="M15" s="1"/>
      <c r="N15" s="1"/>
    </row>
    <row r="16" spans="1:14" ht="15">
      <c r="A16" s="16" t="s">
        <v>82</v>
      </c>
      <c r="B16" s="4">
        <f>SUM(B17:B18)</f>
        <v>0</v>
      </c>
      <c r="C16" s="4"/>
      <c r="D16" s="4">
        <f>SUM(D17:D18)</f>
        <v>0</v>
      </c>
      <c r="E16" s="4"/>
      <c r="F16" s="4">
        <f>SUM(F17:F18)</f>
        <v>0</v>
      </c>
      <c r="G16" s="167"/>
      <c r="H16" s="33">
        <f>B16+D16</f>
        <v>0</v>
      </c>
      <c r="I16" s="33">
        <f>C16+E16</f>
        <v>0</v>
      </c>
      <c r="K16" s="1"/>
      <c r="L16" s="1"/>
      <c r="M16" s="1"/>
      <c r="N16" s="1"/>
    </row>
    <row r="17" spans="1:14" ht="15">
      <c r="A17" s="18" t="s">
        <v>79</v>
      </c>
      <c r="B17" s="34"/>
      <c r="C17" s="34"/>
      <c r="D17" s="7">
        <v>0</v>
      </c>
      <c r="E17" s="7"/>
      <c r="F17" s="7"/>
      <c r="G17" s="168"/>
      <c r="H17" s="94">
        <f aca="true" t="shared" si="4" ref="H17:I20">B17+D17+F17</f>
        <v>0</v>
      </c>
      <c r="I17" s="94">
        <f t="shared" si="4"/>
        <v>0</v>
      </c>
      <c r="K17" s="1"/>
      <c r="L17" s="1"/>
      <c r="M17" s="1"/>
      <c r="N17" s="1"/>
    </row>
    <row r="18" spans="1:14" ht="18" customHeight="1">
      <c r="A18" s="18" t="s">
        <v>80</v>
      </c>
      <c r="B18" s="34"/>
      <c r="C18" s="34"/>
      <c r="D18" s="7"/>
      <c r="E18" s="7"/>
      <c r="F18" s="7"/>
      <c r="G18" s="168"/>
      <c r="H18" s="94">
        <f t="shared" si="4"/>
        <v>0</v>
      </c>
      <c r="I18" s="94">
        <f t="shared" si="4"/>
        <v>0</v>
      </c>
      <c r="K18" s="1"/>
      <c r="L18" s="1"/>
      <c r="M18" s="1"/>
      <c r="N18" s="1"/>
    </row>
    <row r="19" spans="1:14" ht="15">
      <c r="A19" s="19" t="s">
        <v>121</v>
      </c>
      <c r="B19" s="12">
        <v>55849</v>
      </c>
      <c r="C19" s="12">
        <f>55849-22273</f>
        <v>33576</v>
      </c>
      <c r="D19" s="12"/>
      <c r="E19" s="12"/>
      <c r="F19" s="12"/>
      <c r="G19" s="166"/>
      <c r="H19" s="93">
        <f t="shared" si="4"/>
        <v>55849</v>
      </c>
      <c r="I19" s="93">
        <f t="shared" si="4"/>
        <v>33576</v>
      </c>
      <c r="K19" s="1"/>
      <c r="L19" s="1"/>
      <c r="M19" s="1"/>
      <c r="N19" s="1"/>
    </row>
    <row r="20" spans="1:14" ht="15">
      <c r="A20" s="19" t="s">
        <v>122</v>
      </c>
      <c r="B20" s="12">
        <v>47950</v>
      </c>
      <c r="C20" s="12">
        <v>47950</v>
      </c>
      <c r="D20" s="12">
        <v>75629</v>
      </c>
      <c r="E20" s="12">
        <v>75629</v>
      </c>
      <c r="F20" s="12">
        <v>22200</v>
      </c>
      <c r="G20" s="12">
        <v>22200</v>
      </c>
      <c r="H20" s="93">
        <f t="shared" si="4"/>
        <v>145779</v>
      </c>
      <c r="I20" s="93">
        <f t="shared" si="4"/>
        <v>145779</v>
      </c>
      <c r="K20" s="1"/>
      <c r="L20" s="1"/>
      <c r="M20" s="1"/>
      <c r="N20" s="1"/>
    </row>
    <row r="21" spans="1:14" ht="15">
      <c r="A21" s="149" t="s">
        <v>140</v>
      </c>
      <c r="B21" s="150">
        <f>B22</f>
        <v>0</v>
      </c>
      <c r="C21" s="150"/>
      <c r="D21" s="150">
        <f>D22</f>
        <v>0</v>
      </c>
      <c r="E21" s="151"/>
      <c r="F21" s="151">
        <f>F22</f>
        <v>0</v>
      </c>
      <c r="G21" s="151">
        <f>G22</f>
        <v>0</v>
      </c>
      <c r="H21" s="152">
        <f>H22</f>
        <v>0</v>
      </c>
      <c r="I21" s="152">
        <f>I22</f>
        <v>0</v>
      </c>
      <c r="K21" s="1"/>
      <c r="L21" s="1"/>
      <c r="M21" s="1"/>
      <c r="N21" s="1"/>
    </row>
    <row r="22" spans="1:14" ht="25.5">
      <c r="A22" s="156" t="s">
        <v>141</v>
      </c>
      <c r="B22" s="153"/>
      <c r="C22" s="153"/>
      <c r="D22" s="153"/>
      <c r="E22" s="154"/>
      <c r="F22" s="154"/>
      <c r="G22" s="171"/>
      <c r="H22" s="155">
        <f>B22+D22+F22</f>
        <v>0</v>
      </c>
      <c r="I22" s="155">
        <f>C22+E22+G22</f>
        <v>0</v>
      </c>
      <c r="K22" s="1"/>
      <c r="L22" s="1"/>
      <c r="M22" s="1"/>
      <c r="N22" s="1"/>
    </row>
    <row r="23" spans="1:14" ht="15.75" thickBot="1">
      <c r="A23" s="45" t="s">
        <v>12</v>
      </c>
      <c r="B23" s="43">
        <f>B4+B13+B19+B20+B21</f>
        <v>264862</v>
      </c>
      <c r="C23" s="43">
        <f>C4+C13+C19+C20+C21</f>
        <v>247691</v>
      </c>
      <c r="D23" s="43">
        <f>D4+D13+D19+D20</f>
        <v>510934</v>
      </c>
      <c r="E23" s="43">
        <f>E4+E13+E19+E20</f>
        <v>474682</v>
      </c>
      <c r="F23" s="90">
        <f>F4+F13+F19+F20</f>
        <v>577614</v>
      </c>
      <c r="G23" s="90">
        <f>G4+G13+G19+G20</f>
        <v>582806</v>
      </c>
      <c r="H23" s="51">
        <f>B23+D23+F23</f>
        <v>1353410</v>
      </c>
      <c r="I23" s="51">
        <f>C23+E23+G23</f>
        <v>1305179</v>
      </c>
      <c r="K23" s="1"/>
      <c r="L23" s="1"/>
      <c r="M23" s="1"/>
      <c r="N23" s="1"/>
    </row>
    <row r="24" spans="1:9" ht="15.75" thickBot="1">
      <c r="A24" s="103" t="s">
        <v>68</v>
      </c>
      <c r="B24" s="102"/>
      <c r="C24" s="102"/>
      <c r="D24" s="102"/>
      <c r="E24" s="102"/>
      <c r="F24" s="102"/>
      <c r="G24" s="102"/>
      <c r="H24" s="102">
        <f>D24+B24</f>
        <v>0</v>
      </c>
      <c r="I24" s="102">
        <f>E24+C24</f>
        <v>0</v>
      </c>
    </row>
    <row r="27" spans="4:9" ht="15">
      <c r="D27" s="1"/>
      <c r="E27" s="1"/>
      <c r="H27" s="1"/>
      <c r="I27" s="1"/>
    </row>
    <row r="28" spans="8:9" ht="15">
      <c r="H28" s="1"/>
      <c r="I28" s="1"/>
    </row>
  </sheetData>
  <sheetProtection/>
  <printOptions/>
  <pageMargins left="0.7" right="0.7" top="0.75" bottom="0.75" header="0.3" footer="0.3"/>
  <pageSetup horizontalDpi="600" verticalDpi="600" orientation="portrait" paperSize="9" scale="44" r:id="rId2"/>
  <headerFooter>
    <oddHeader>&amp;L&amp;G&amp;C.../2020 (II.19.) számú határozat
a Marcali Kistérségi Többcélú Társulás
2019. évi költségvetésének módosításáról</oddHeader>
    <oddFooter>&amp;C&amp;P. oldal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70.8515625" style="0" customWidth="1"/>
    <col min="2" max="3" width="13.421875" style="0" customWidth="1"/>
    <col min="5" max="5" width="41.00390625" style="0" customWidth="1"/>
    <col min="6" max="7" width="13.140625" style="0" customWidth="1"/>
  </cols>
  <sheetData>
    <row r="1" spans="2:3" ht="15">
      <c r="B1" s="1"/>
      <c r="C1" s="1"/>
    </row>
    <row r="2" spans="1:7" ht="15.75" thickBot="1">
      <c r="A2" s="2" t="s">
        <v>43</v>
      </c>
      <c r="B2" s="2"/>
      <c r="C2" s="2"/>
      <c r="D2" s="10"/>
      <c r="E2" s="10"/>
      <c r="F2" s="10"/>
      <c r="G2" s="10" t="s">
        <v>16</v>
      </c>
    </row>
    <row r="3" spans="1:7" ht="15">
      <c r="A3" s="23" t="s">
        <v>1</v>
      </c>
      <c r="B3" s="24">
        <f>B4</f>
        <v>167231</v>
      </c>
      <c r="C3" s="24">
        <f>C4</f>
        <v>160228</v>
      </c>
      <c r="D3" s="28"/>
      <c r="E3" s="110" t="s">
        <v>40</v>
      </c>
      <c r="F3" s="125">
        <f>SUM(F4:F9)</f>
        <v>1151782</v>
      </c>
      <c r="G3" s="125">
        <f>SUM(G4:G9)</f>
        <v>1115853</v>
      </c>
    </row>
    <row r="4" spans="1:7" ht="15">
      <c r="A4" s="3" t="s">
        <v>2</v>
      </c>
      <c r="B4" s="4">
        <f>'1.sz.Bevételi források'!H6</f>
        <v>167231</v>
      </c>
      <c r="C4" s="4">
        <f>'1.sz.Bevételi források'!I6</f>
        <v>160228</v>
      </c>
      <c r="D4" s="29"/>
      <c r="E4" s="111" t="s">
        <v>13</v>
      </c>
      <c r="F4" s="5">
        <f>'2.szKiadás kiemelt jogcímenként'!H5</f>
        <v>648056</v>
      </c>
      <c r="G4" s="5">
        <f>'2.szKiadás kiemelt jogcímenként'!I5</f>
        <v>636046</v>
      </c>
    </row>
    <row r="5" spans="1:7" ht="15">
      <c r="A5" s="3"/>
      <c r="B5" s="4"/>
      <c r="C5" s="4"/>
      <c r="D5" s="29"/>
      <c r="E5" s="111" t="s">
        <v>14</v>
      </c>
      <c r="F5" s="5">
        <f>'2.szKiadás kiemelt jogcímenként'!H6</f>
        <v>126137</v>
      </c>
      <c r="G5" s="5">
        <f>'2.szKiadás kiemelt jogcímenként'!I6</f>
        <v>124026</v>
      </c>
    </row>
    <row r="6" spans="1:7" ht="15">
      <c r="A6" s="11" t="s">
        <v>94</v>
      </c>
      <c r="B6" s="12">
        <f>SUM(B7:B12)</f>
        <v>1017927</v>
      </c>
      <c r="C6" s="12">
        <f>SUM(C7:C12)</f>
        <v>976854</v>
      </c>
      <c r="D6" s="29"/>
      <c r="E6" s="111" t="s">
        <v>15</v>
      </c>
      <c r="F6" s="5">
        <f>'2.szKiadás kiemelt jogcímenként'!H7</f>
        <v>361765</v>
      </c>
      <c r="G6" s="5">
        <f>'2.szKiadás kiemelt jogcímenként'!I7</f>
        <v>350557</v>
      </c>
    </row>
    <row r="7" spans="1:7" ht="15">
      <c r="A7" s="3" t="s">
        <v>98</v>
      </c>
      <c r="B7" s="4">
        <f>'1.sz.Bevételi források'!H9</f>
        <v>103444</v>
      </c>
      <c r="C7" s="4">
        <f>'1.sz.Bevételi források'!I9</f>
        <v>102862</v>
      </c>
      <c r="D7" s="29"/>
      <c r="E7" s="112" t="s">
        <v>85</v>
      </c>
      <c r="F7" s="5">
        <f>'2.szKiadás kiemelt jogcímenként'!H9</f>
        <v>4974</v>
      </c>
      <c r="G7" s="5">
        <f>'2.szKiadás kiemelt jogcímenként'!I9</f>
        <v>4974</v>
      </c>
    </row>
    <row r="8" spans="1:7" ht="15">
      <c r="A8" s="3" t="s">
        <v>99</v>
      </c>
      <c r="B8" s="4">
        <f>'1.sz.Bevételi források'!H10</f>
        <v>57437</v>
      </c>
      <c r="C8" s="4">
        <f>'1.sz.Bevételi források'!I10</f>
        <v>64900</v>
      </c>
      <c r="D8" s="29"/>
      <c r="E8" s="111" t="s">
        <v>86</v>
      </c>
      <c r="F8" s="5">
        <f>'2.szKiadás kiemelt jogcímenként'!H10</f>
        <v>10600</v>
      </c>
      <c r="G8" s="5">
        <f>'2.szKiadás kiemelt jogcímenként'!I10</f>
        <v>0</v>
      </c>
    </row>
    <row r="9" spans="1:7" ht="15">
      <c r="A9" s="3" t="s">
        <v>100</v>
      </c>
      <c r="B9" s="4">
        <f>'1.sz.Bevételi források'!H11</f>
        <v>822135</v>
      </c>
      <c r="C9" s="4">
        <f>'1.sz.Bevételi források'!I11</f>
        <v>800927</v>
      </c>
      <c r="D9" s="29"/>
      <c r="E9" s="111" t="s">
        <v>76</v>
      </c>
      <c r="F9" s="5">
        <f>'2.szKiadás kiemelt jogcímenként'!H11</f>
        <v>250</v>
      </c>
      <c r="G9" s="5">
        <f>'2.szKiadás kiemelt jogcímenként'!I11</f>
        <v>250</v>
      </c>
    </row>
    <row r="10" spans="1:7" ht="15">
      <c r="A10" s="3" t="s">
        <v>101</v>
      </c>
      <c r="B10" s="4">
        <f>'1.sz.Bevételi források'!H12</f>
        <v>34911</v>
      </c>
      <c r="C10" s="4">
        <f>'1.sz.Bevételi források'!I12</f>
        <v>8165</v>
      </c>
      <c r="D10" s="29"/>
      <c r="E10" s="88"/>
      <c r="F10" s="5"/>
      <c r="G10" s="5"/>
    </row>
    <row r="11" spans="1:7" ht="15">
      <c r="A11" s="3" t="s">
        <v>102</v>
      </c>
      <c r="B11" s="4">
        <f>'1.sz.Bevételi források'!H13</f>
        <v>0</v>
      </c>
      <c r="C11" s="4">
        <f>'1.sz.Bevételi források'!I13</f>
        <v>0</v>
      </c>
      <c r="D11" s="29"/>
      <c r="E11" s="113" t="s">
        <v>121</v>
      </c>
      <c r="F11" s="126">
        <f>'2.szKiadás kiemelt jogcímenként'!H19-'3b sz.Felhalmozási mérleg'!F12</f>
        <v>55849</v>
      </c>
      <c r="G11" s="126">
        <f>'2.szKiadás kiemelt jogcímenként'!I19-'3b sz.Felhalmozási mérleg'!H12</f>
        <v>33576</v>
      </c>
    </row>
    <row r="12" spans="1:7" ht="15">
      <c r="A12" s="3" t="s">
        <v>103</v>
      </c>
      <c r="B12" s="4">
        <f>'1.sz.Bevételi források'!H14</f>
        <v>0</v>
      </c>
      <c r="C12" s="4">
        <f>'1.sz.Bevételi források'!I14</f>
        <v>0</v>
      </c>
      <c r="D12" s="29"/>
      <c r="E12" s="113" t="s">
        <v>122</v>
      </c>
      <c r="F12" s="126">
        <f>'2.szKiadás kiemelt jogcímenként'!H20-'3b sz.Felhalmozási mérleg'!F13</f>
        <v>145779</v>
      </c>
      <c r="G12" s="126">
        <f>'2.szKiadás kiemelt jogcímenként'!I20-'3b sz.Felhalmozási mérleg'!H13</f>
        <v>145779</v>
      </c>
    </row>
    <row r="13" spans="1:7" ht="15">
      <c r="A13" s="11" t="s">
        <v>95</v>
      </c>
      <c r="B13" s="12">
        <f>B14</f>
        <v>0</v>
      </c>
      <c r="C13" s="12">
        <f>C14</f>
        <v>200</v>
      </c>
      <c r="D13" s="29"/>
      <c r="E13" s="149" t="s">
        <v>140</v>
      </c>
      <c r="F13" s="158">
        <f>F14</f>
        <v>0</v>
      </c>
      <c r="G13" s="158">
        <f>G14</f>
        <v>0</v>
      </c>
    </row>
    <row r="14" spans="1:7" ht="25.5">
      <c r="A14" s="3" t="s">
        <v>111</v>
      </c>
      <c r="B14" s="4">
        <f>'1.sz.Bevételi források'!H16</f>
        <v>0</v>
      </c>
      <c r="C14" s="4">
        <f>'1.sz.Bevételi források'!I16</f>
        <v>200</v>
      </c>
      <c r="D14" s="29"/>
      <c r="E14" s="159" t="s">
        <v>142</v>
      </c>
      <c r="F14" s="5"/>
      <c r="G14" s="5"/>
    </row>
    <row r="15" spans="1:7" ht="15">
      <c r="A15" s="9"/>
      <c r="B15" s="4"/>
      <c r="C15" s="4"/>
      <c r="D15" s="29"/>
      <c r="E15" s="22"/>
      <c r="F15" s="127"/>
      <c r="G15" s="127"/>
    </row>
    <row r="16" spans="1:7" ht="15">
      <c r="A16" s="11" t="s">
        <v>96</v>
      </c>
      <c r="B16" s="12">
        <f>B17</f>
        <v>0</v>
      </c>
      <c r="C16" s="12">
        <f>C17</f>
        <v>0</v>
      </c>
      <c r="D16" s="29"/>
      <c r="E16" s="22"/>
      <c r="F16" s="127"/>
      <c r="G16" s="127"/>
    </row>
    <row r="17" spans="1:7" ht="15">
      <c r="A17" s="3" t="s">
        <v>116</v>
      </c>
      <c r="B17" s="4">
        <f>'1.sz.Bevételi források'!H20</f>
        <v>0</v>
      </c>
      <c r="C17" s="4">
        <f>'1.sz.Bevételi források'!I20</f>
        <v>0</v>
      </c>
      <c r="D17" s="29"/>
      <c r="E17" s="22"/>
      <c r="F17" s="127"/>
      <c r="G17" s="127"/>
    </row>
    <row r="18" spans="1:7" ht="15">
      <c r="A18" s="9"/>
      <c r="B18" s="4"/>
      <c r="C18" s="4"/>
      <c r="D18" s="29"/>
      <c r="E18" s="22"/>
      <c r="F18" s="127"/>
      <c r="G18" s="127"/>
    </row>
    <row r="19" spans="1:7" ht="26.25">
      <c r="A19" s="11" t="s">
        <v>115</v>
      </c>
      <c r="B19" s="12">
        <f>B20+B22</f>
        <v>168252</v>
      </c>
      <c r="C19" s="12">
        <f>C20+C22</f>
        <v>167897</v>
      </c>
      <c r="D19" s="29"/>
      <c r="E19" s="22"/>
      <c r="F19" s="127"/>
      <c r="G19" s="127"/>
    </row>
    <row r="20" spans="1:7" ht="15">
      <c r="A20" s="6" t="s">
        <v>5</v>
      </c>
      <c r="B20" s="4">
        <f>B21</f>
        <v>168252</v>
      </c>
      <c r="C20" s="4">
        <f>C21</f>
        <v>167897</v>
      </c>
      <c r="D20" s="29"/>
      <c r="E20" s="22"/>
      <c r="F20" s="127"/>
      <c r="G20" s="127"/>
    </row>
    <row r="21" spans="1:7" ht="15">
      <c r="A21" s="3" t="s">
        <v>6</v>
      </c>
      <c r="B21" s="4">
        <f>'1.sz.Bevételi források'!H41</f>
        <v>168252</v>
      </c>
      <c r="C21" s="4">
        <f>'1.sz.Bevételi források'!I41</f>
        <v>167897</v>
      </c>
      <c r="D21" s="29"/>
      <c r="E21" s="22"/>
      <c r="F21" s="127"/>
      <c r="G21" s="127"/>
    </row>
    <row r="22" spans="1:7" ht="15">
      <c r="A22" s="6" t="s">
        <v>8</v>
      </c>
      <c r="B22" s="4">
        <f>B23</f>
        <v>0</v>
      </c>
      <c r="C22" s="4">
        <f>C23</f>
        <v>0</v>
      </c>
      <c r="D22" s="29"/>
      <c r="E22" s="22"/>
      <c r="F22" s="127"/>
      <c r="G22" s="127"/>
    </row>
    <row r="23" spans="1:7" ht="15">
      <c r="A23" s="3" t="s">
        <v>9</v>
      </c>
      <c r="B23" s="4">
        <f>'1.sz.Bevételi források'!H44</f>
        <v>0</v>
      </c>
      <c r="C23" s="4">
        <f>'1.sz.Bevételi források'!I44</f>
        <v>0</v>
      </c>
      <c r="D23" s="29"/>
      <c r="E23" s="22"/>
      <c r="F23" s="127"/>
      <c r="G23" s="127"/>
    </row>
    <row r="24" spans="1:7" ht="15">
      <c r="A24" s="157" t="s">
        <v>137</v>
      </c>
      <c r="B24" s="12">
        <f>B25</f>
        <v>0</v>
      </c>
      <c r="C24" s="12">
        <f>C25</f>
        <v>0</v>
      </c>
      <c r="D24" s="29"/>
      <c r="E24" s="22"/>
      <c r="F24" s="127"/>
      <c r="G24" s="127"/>
    </row>
    <row r="25" spans="1:7" ht="15">
      <c r="A25" s="6" t="s">
        <v>138</v>
      </c>
      <c r="B25" s="4">
        <f>'1.sz.Bevételi források'!B47</f>
        <v>0</v>
      </c>
      <c r="C25" s="4">
        <f>'1.sz.Bevételi források'!C47</f>
        <v>0</v>
      </c>
      <c r="D25" s="29"/>
      <c r="E25" s="22"/>
      <c r="F25" s="127"/>
      <c r="G25" s="127"/>
    </row>
    <row r="26" spans="1:7" ht="15">
      <c r="A26" s="47" t="s">
        <v>17</v>
      </c>
      <c r="B26" s="48">
        <f>B19+B16+B13+B6+B3+B24</f>
        <v>1353410</v>
      </c>
      <c r="C26" s="48">
        <f>C19+C16+C13+C6+C3+C24</f>
        <v>1305179</v>
      </c>
      <c r="D26" s="29"/>
      <c r="E26" s="114" t="s">
        <v>19</v>
      </c>
      <c r="F26" s="49">
        <f>F3+F11+F12</f>
        <v>1353410</v>
      </c>
      <c r="G26" s="49">
        <f>G3+G11+G12</f>
        <v>1295208</v>
      </c>
    </row>
    <row r="27" spans="1:7" ht="15.75" thickBot="1">
      <c r="A27" s="42" t="s">
        <v>20</v>
      </c>
      <c r="B27" s="43" t="str">
        <f>IF(B26-F26&gt;0,B26-F26,"-----")</f>
        <v>-----</v>
      </c>
      <c r="C27" s="43">
        <f>IF(C26-G26&gt;0,C26-G26,"-----")</f>
        <v>9971</v>
      </c>
      <c r="D27" s="30"/>
      <c r="E27" s="90" t="s">
        <v>21</v>
      </c>
      <c r="F27" s="44" t="str">
        <f>IF(B26-F26&lt;0,B26-F26,"-----")</f>
        <v>-----</v>
      </c>
      <c r="G27" s="44" t="str">
        <f>IF(C26-G26&lt;0,C26-G26,"-----")</f>
        <v>-----</v>
      </c>
    </row>
  </sheetData>
  <sheetProtection/>
  <printOptions/>
  <pageMargins left="0.7" right="0.7" top="0.75" bottom="0.75" header="0.3" footer="0.3"/>
  <pageSetup horizontalDpi="600" verticalDpi="600" orientation="portrait" paperSize="9" scale="50" r:id="rId2"/>
  <headerFooter>
    <oddHeader>&amp;L&amp;G&amp;C.../2020 (II.19.) számú határozat
a Marcali Kistérségi Többcélú Társulás
2019. évi költségvetésének módosításáról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27"/>
  <sheetViews>
    <sheetView view="pageBreakPreview" zoomScale="60" workbookViewId="0" topLeftCell="A1">
      <selection activeCell="A1" sqref="A1"/>
    </sheetView>
  </sheetViews>
  <sheetFormatPr defaultColWidth="9.140625" defaultRowHeight="15"/>
  <cols>
    <col min="1" max="1" width="70.421875" style="0" customWidth="1"/>
    <col min="2" max="3" width="14.8515625" style="0" customWidth="1"/>
    <col min="5" max="5" width="41.00390625" style="0" customWidth="1"/>
    <col min="6" max="7" width="15.00390625" style="0" customWidth="1"/>
  </cols>
  <sheetData>
    <row r="2" spans="1:7" ht="15.75" thickBot="1">
      <c r="A2" s="2" t="s">
        <v>44</v>
      </c>
      <c r="B2" s="2"/>
      <c r="C2" s="2"/>
      <c r="D2" s="15"/>
      <c r="E2" s="15"/>
      <c r="F2" s="15"/>
      <c r="G2" s="15" t="s">
        <v>16</v>
      </c>
    </row>
    <row r="3" spans="1:7" ht="15">
      <c r="A3" s="23" t="s">
        <v>97</v>
      </c>
      <c r="B3" s="37">
        <f>SUM(B4:B9)</f>
        <v>0</v>
      </c>
      <c r="C3" s="37">
        <f>SUM(C4:C9)</f>
        <v>0</v>
      </c>
      <c r="D3" s="28"/>
      <c r="E3" s="25" t="s">
        <v>23</v>
      </c>
      <c r="F3" s="128">
        <f>SUM(F4:F6)</f>
        <v>0</v>
      </c>
      <c r="G3" s="128">
        <f>SUM(G4:G6)</f>
        <v>9971</v>
      </c>
    </row>
    <row r="4" spans="1:7" ht="15">
      <c r="A4" s="3" t="s">
        <v>104</v>
      </c>
      <c r="B4" s="4">
        <f>'1.sz.Bevételi források'!H23</f>
        <v>0</v>
      </c>
      <c r="C4" s="4">
        <f>'1.sz.Bevételi források'!I23</f>
        <v>0</v>
      </c>
      <c r="D4" s="29"/>
      <c r="E4" s="21" t="s">
        <v>87</v>
      </c>
      <c r="F4" s="5">
        <f>'2.szKiadás kiemelt jogcímenként'!H14</f>
        <v>0</v>
      </c>
      <c r="G4" s="5">
        <f>'2.szKiadás kiemelt jogcímenként'!I14</f>
        <v>9971</v>
      </c>
    </row>
    <row r="5" spans="1:7" ht="15">
      <c r="A5" s="3" t="s">
        <v>105</v>
      </c>
      <c r="B5" s="4">
        <f>'1.sz.Bevételi források'!H24</f>
        <v>0</v>
      </c>
      <c r="C5" s="4">
        <f>'1.sz.Bevételi források'!I24</f>
        <v>0</v>
      </c>
      <c r="D5" s="29"/>
      <c r="E5" s="21" t="s">
        <v>88</v>
      </c>
      <c r="F5" s="5">
        <f>'2.szKiadás kiemelt jogcímenként'!H15</f>
        <v>0</v>
      </c>
      <c r="G5" s="5">
        <f>'2.szKiadás kiemelt jogcímenként'!I15</f>
        <v>0</v>
      </c>
    </row>
    <row r="6" spans="1:7" ht="15">
      <c r="A6" s="3" t="s">
        <v>106</v>
      </c>
      <c r="B6" s="4">
        <f>'1.sz.Bevételi források'!H25</f>
        <v>0</v>
      </c>
      <c r="C6" s="4">
        <f>'1.sz.Bevételi források'!I25</f>
        <v>0</v>
      </c>
      <c r="D6" s="29"/>
      <c r="E6" s="21" t="s">
        <v>82</v>
      </c>
      <c r="F6" s="5">
        <f>'2.szKiadás kiemelt jogcímenként'!H16</f>
        <v>0</v>
      </c>
      <c r="G6" s="5">
        <f>'2.szKiadás kiemelt jogcímenként'!I16</f>
        <v>0</v>
      </c>
    </row>
    <row r="7" spans="1:7" ht="15">
      <c r="A7" s="3" t="s">
        <v>107</v>
      </c>
      <c r="B7" s="4">
        <f>'1.sz.Bevételi források'!H26</f>
        <v>0</v>
      </c>
      <c r="C7" s="4">
        <f>'1.sz.Bevételi források'!I26</f>
        <v>0</v>
      </c>
      <c r="D7" s="29"/>
      <c r="E7" s="18" t="s">
        <v>79</v>
      </c>
      <c r="F7" s="5">
        <f>'2.szKiadás kiemelt jogcímenként'!H17</f>
        <v>0</v>
      </c>
      <c r="G7" s="5">
        <f>'2.szKiadás kiemelt jogcímenként'!I17</f>
        <v>0</v>
      </c>
    </row>
    <row r="8" spans="1:7" ht="15">
      <c r="A8" s="3" t="s">
        <v>108</v>
      </c>
      <c r="B8" s="4">
        <f>'1.sz.Bevételi források'!H27</f>
        <v>0</v>
      </c>
      <c r="C8" s="4">
        <f>'1.sz.Bevételi források'!I27</f>
        <v>0</v>
      </c>
      <c r="D8" s="29"/>
      <c r="E8" s="18" t="s">
        <v>80</v>
      </c>
      <c r="F8" s="5">
        <f>'2.szKiadás kiemelt jogcímenként'!H18</f>
        <v>0</v>
      </c>
      <c r="G8" s="5">
        <f>'2.szKiadás kiemelt jogcímenként'!I18</f>
        <v>0</v>
      </c>
    </row>
    <row r="9" spans="1:7" ht="15">
      <c r="A9" s="3" t="s">
        <v>109</v>
      </c>
      <c r="B9" s="4">
        <f>'1.sz.Bevételi források'!H28</f>
        <v>0</v>
      </c>
      <c r="C9" s="4">
        <f>'1.sz.Bevételi források'!I28</f>
        <v>0</v>
      </c>
      <c r="D9" s="29"/>
      <c r="E9" s="16"/>
      <c r="F9" s="5"/>
      <c r="G9" s="5"/>
    </row>
    <row r="10" spans="1:7" ht="15">
      <c r="A10" s="3"/>
      <c r="B10" s="4"/>
      <c r="C10" s="4"/>
      <c r="D10" s="29"/>
      <c r="E10" s="16"/>
      <c r="F10" s="5"/>
      <c r="G10" s="5"/>
    </row>
    <row r="11" spans="1:7" ht="15">
      <c r="A11" s="38" t="s">
        <v>117</v>
      </c>
      <c r="B11" s="8">
        <f>SUM(B12:B13)</f>
        <v>0</v>
      </c>
      <c r="C11" s="8">
        <f>SUM(C12:C13)</f>
        <v>0</v>
      </c>
      <c r="D11" s="29"/>
      <c r="E11" s="117"/>
      <c r="F11" s="129"/>
      <c r="G11" s="129"/>
    </row>
    <row r="12" spans="1:7" ht="15">
      <c r="A12" s="32" t="s">
        <v>3</v>
      </c>
      <c r="B12" s="4">
        <f>'1.sz.Bevételi források'!H31</f>
        <v>0</v>
      </c>
      <c r="C12" s="4">
        <f>'1.sz.Bevételi források'!I31</f>
        <v>0</v>
      </c>
      <c r="D12" s="29"/>
      <c r="E12" s="26" t="s">
        <v>121</v>
      </c>
      <c r="F12" s="126"/>
      <c r="G12" s="126"/>
    </row>
    <row r="13" spans="1:7" ht="15">
      <c r="A13" s="32" t="s">
        <v>90</v>
      </c>
      <c r="B13" s="4">
        <f>'1.sz.Bevételi források'!H32</f>
        <v>0</v>
      </c>
      <c r="C13" s="4">
        <f>'1.sz.Bevételi források'!I32</f>
        <v>0</v>
      </c>
      <c r="D13" s="29"/>
      <c r="E13" s="26" t="s">
        <v>122</v>
      </c>
      <c r="F13" s="126"/>
      <c r="G13" s="126"/>
    </row>
    <row r="14" spans="1:7" ht="15">
      <c r="A14" s="32"/>
      <c r="B14" s="4"/>
      <c r="C14" s="4"/>
      <c r="D14" s="29"/>
      <c r="E14" s="149" t="s">
        <v>140</v>
      </c>
      <c r="F14" s="158">
        <f>F15</f>
        <v>0</v>
      </c>
      <c r="G14" s="158">
        <f>G15</f>
        <v>0</v>
      </c>
    </row>
    <row r="15" spans="1:7" ht="25.5">
      <c r="A15" s="32"/>
      <c r="B15" s="4"/>
      <c r="C15" s="4"/>
      <c r="D15" s="29"/>
      <c r="E15" s="159" t="s">
        <v>142</v>
      </c>
      <c r="F15" s="5"/>
      <c r="G15" s="5"/>
    </row>
    <row r="16" spans="1:7" ht="15">
      <c r="A16" s="11" t="s">
        <v>112</v>
      </c>
      <c r="B16" s="8">
        <f>B17</f>
        <v>0</v>
      </c>
      <c r="C16" s="8">
        <f>C17</f>
        <v>0</v>
      </c>
      <c r="D16" s="29"/>
      <c r="E16" s="22"/>
      <c r="F16" s="127"/>
      <c r="G16" s="127"/>
    </row>
    <row r="17" spans="1:7" ht="15">
      <c r="A17" s="3" t="s">
        <v>113</v>
      </c>
      <c r="B17" s="4">
        <f>'1.sz.Bevételi források'!H35</f>
        <v>0</v>
      </c>
      <c r="C17" s="4">
        <f>'1.sz.Bevételi források'!I35</f>
        <v>0</v>
      </c>
      <c r="D17" s="29"/>
      <c r="E17" s="22"/>
      <c r="F17" s="127"/>
      <c r="G17" s="127"/>
    </row>
    <row r="18" spans="1:7" ht="15">
      <c r="A18" s="32"/>
      <c r="B18" s="4"/>
      <c r="C18" s="4"/>
      <c r="D18" s="29"/>
      <c r="E18" s="22"/>
      <c r="F18" s="127"/>
      <c r="G18" s="127"/>
    </row>
    <row r="19" spans="1:7" ht="26.25">
      <c r="A19" s="38" t="s">
        <v>4</v>
      </c>
      <c r="B19" s="8">
        <f>B20+B22</f>
        <v>0</v>
      </c>
      <c r="C19" s="8">
        <f>C20+C22</f>
        <v>0</v>
      </c>
      <c r="D19" s="29"/>
      <c r="E19" s="22"/>
      <c r="F19" s="127"/>
      <c r="G19" s="127"/>
    </row>
    <row r="20" spans="1:7" ht="15">
      <c r="A20" s="31" t="s">
        <v>5</v>
      </c>
      <c r="B20" s="4">
        <f>B21</f>
        <v>0</v>
      </c>
      <c r="C20" s="4">
        <f>C21</f>
        <v>0</v>
      </c>
      <c r="D20" s="29"/>
      <c r="E20" s="22"/>
      <c r="F20" s="127"/>
      <c r="G20" s="127"/>
    </row>
    <row r="21" spans="1:7" ht="15">
      <c r="A21" s="32" t="s">
        <v>7</v>
      </c>
      <c r="B21" s="4">
        <f>'1.sz.Bevételi források'!H42</f>
        <v>0</v>
      </c>
      <c r="C21" s="4">
        <f>'1.sz.Bevételi források'!I42</f>
        <v>0</v>
      </c>
      <c r="D21" s="29"/>
      <c r="E21" s="22"/>
      <c r="F21" s="127"/>
      <c r="G21" s="127"/>
    </row>
    <row r="22" spans="1:7" ht="15">
      <c r="A22" s="31" t="s">
        <v>8</v>
      </c>
      <c r="B22" s="4">
        <f>B23</f>
        <v>0</v>
      </c>
      <c r="C22" s="4">
        <f>C23</f>
        <v>0</v>
      </c>
      <c r="D22" s="29"/>
      <c r="E22" s="22"/>
      <c r="F22" s="127"/>
      <c r="G22" s="127"/>
    </row>
    <row r="23" spans="1:7" ht="15">
      <c r="A23" s="32" t="s">
        <v>10</v>
      </c>
      <c r="B23" s="4">
        <f>'1.sz.Bevételi források'!H45</f>
        <v>0</v>
      </c>
      <c r="C23" s="4">
        <f>'1.sz.Bevételi források'!I45</f>
        <v>0</v>
      </c>
      <c r="D23" s="29"/>
      <c r="E23" s="22"/>
      <c r="F23" s="127"/>
      <c r="G23" s="127"/>
    </row>
    <row r="24" spans="1:7" ht="15">
      <c r="A24" s="157" t="s">
        <v>137</v>
      </c>
      <c r="B24" s="12">
        <f>B25</f>
        <v>0</v>
      </c>
      <c r="C24" s="12">
        <f>C25</f>
        <v>0</v>
      </c>
      <c r="D24" s="29"/>
      <c r="E24" s="22"/>
      <c r="F24" s="127"/>
      <c r="G24" s="127"/>
    </row>
    <row r="25" spans="1:7" ht="15">
      <c r="A25" s="6" t="s">
        <v>143</v>
      </c>
      <c r="B25" s="4">
        <f>'1.sz.Bevételi források'!B48</f>
        <v>0</v>
      </c>
      <c r="C25" s="4">
        <f>'1.sz.Bevételi források'!C48</f>
        <v>0</v>
      </c>
      <c r="D25" s="29"/>
      <c r="E25" s="22"/>
      <c r="F25" s="127"/>
      <c r="G25" s="127"/>
    </row>
    <row r="26" spans="1:7" ht="15">
      <c r="A26" s="50" t="s">
        <v>22</v>
      </c>
      <c r="B26" s="48">
        <f>B3+B11+B16+B19+B24</f>
        <v>0</v>
      </c>
      <c r="C26" s="48">
        <f>C3+C11+C16+C19+C24</f>
        <v>0</v>
      </c>
      <c r="D26" s="35"/>
      <c r="E26" s="48" t="s">
        <v>69</v>
      </c>
      <c r="F26" s="49">
        <f>F3+F11+F12+F13+F14</f>
        <v>0</v>
      </c>
      <c r="G26" s="49">
        <f>G3+G11+G12+G13+G14</f>
        <v>9971</v>
      </c>
    </row>
    <row r="27" spans="1:7" ht="15.75" thickBot="1">
      <c r="A27" s="51" t="s">
        <v>71</v>
      </c>
      <c r="B27" s="43" t="str">
        <f>IF(B26-F26&gt;0,B26-F26,"-----")</f>
        <v>-----</v>
      </c>
      <c r="C27" s="43" t="str">
        <f>IF(C26-G26&gt;0,C26-G26,"-----")</f>
        <v>-----</v>
      </c>
      <c r="D27" s="36"/>
      <c r="E27" s="43" t="s">
        <v>70</v>
      </c>
      <c r="F27" s="44" t="str">
        <f>IF(B26-F26&lt;0,B26-F26,"-----")</f>
        <v>-----</v>
      </c>
      <c r="G27" s="44">
        <f>IF(C26-G26&lt;0,C26-G26,"-----")</f>
        <v>-9971</v>
      </c>
    </row>
  </sheetData>
  <sheetProtection/>
  <printOptions/>
  <pageMargins left="0.7" right="0.7" top="0.75" bottom="0.75" header="0.3" footer="0.3"/>
  <pageSetup horizontalDpi="600" verticalDpi="600" orientation="portrait" paperSize="9" scale="48" r:id="rId2"/>
  <headerFooter>
    <oddHeader>&amp;L&amp;G&amp;C.../2020 (II.19.) számú határozat
a Marcali Kistérségi Többcélú Társulás
2019. évi költségvetésének módosításáról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I28"/>
  <sheetViews>
    <sheetView view="pageBreakPreview" zoomScaleSheetLayoutView="100" workbookViewId="0" topLeftCell="A14">
      <selection activeCell="B21" sqref="B21"/>
    </sheetView>
  </sheetViews>
  <sheetFormatPr defaultColWidth="9.140625" defaultRowHeight="15"/>
  <cols>
    <col min="1" max="1" width="5.57421875" style="0" customWidth="1"/>
    <col min="2" max="2" width="29.421875" style="0" customWidth="1"/>
    <col min="3" max="3" width="13.421875" style="0" customWidth="1"/>
    <col min="4" max="4" width="11.57421875" style="0" customWidth="1"/>
    <col min="5" max="8" width="12.00390625" style="0" customWidth="1"/>
    <col min="9" max="9" width="26.57421875" style="0" customWidth="1"/>
  </cols>
  <sheetData>
    <row r="3" spans="1:9" ht="15">
      <c r="A3" s="183" t="s">
        <v>164</v>
      </c>
      <c r="B3" s="183"/>
      <c r="C3" s="183"/>
      <c r="D3" s="183"/>
      <c r="E3" s="183"/>
      <c r="F3" s="183"/>
      <c r="G3" s="183"/>
      <c r="H3" s="183"/>
      <c r="I3" s="184" t="s">
        <v>16</v>
      </c>
    </row>
    <row r="4" spans="1:9" ht="15.75" thickBot="1">
      <c r="A4" s="183" t="s">
        <v>165</v>
      </c>
      <c r="B4" s="183"/>
      <c r="C4" s="183"/>
      <c r="D4" s="183"/>
      <c r="E4" s="183"/>
      <c r="F4" s="183"/>
      <c r="G4" s="183"/>
      <c r="H4" s="183"/>
      <c r="I4" s="184"/>
    </row>
    <row r="5" spans="1:9" ht="15" customHeight="1">
      <c r="A5" s="185" t="s">
        <v>150</v>
      </c>
      <c r="B5" s="231" t="s">
        <v>151</v>
      </c>
      <c r="C5" s="231" t="s">
        <v>158</v>
      </c>
      <c r="D5" s="231" t="s">
        <v>159</v>
      </c>
      <c r="E5" s="231" t="s">
        <v>160</v>
      </c>
      <c r="F5" s="231" t="s">
        <v>167</v>
      </c>
      <c r="G5" s="231" t="s">
        <v>168</v>
      </c>
      <c r="H5" s="231" t="s">
        <v>169</v>
      </c>
      <c r="I5" s="233" t="s">
        <v>152</v>
      </c>
    </row>
    <row r="6" spans="1:9" ht="47.25" customHeight="1">
      <c r="A6" s="188" t="s">
        <v>153</v>
      </c>
      <c r="B6" s="232"/>
      <c r="C6" s="232"/>
      <c r="D6" s="232"/>
      <c r="E6" s="232"/>
      <c r="F6" s="232"/>
      <c r="G6" s="232"/>
      <c r="H6" s="232"/>
      <c r="I6" s="234"/>
    </row>
    <row r="7" spans="1:9" ht="26.25" customHeight="1">
      <c r="A7" s="39" t="s">
        <v>154</v>
      </c>
      <c r="B7" s="192" t="s">
        <v>170</v>
      </c>
      <c r="C7" s="193"/>
      <c r="D7" s="194"/>
      <c r="E7" s="194"/>
      <c r="F7" s="193">
        <v>3571</v>
      </c>
      <c r="G7" s="194">
        <v>357</v>
      </c>
      <c r="H7" s="194">
        <f>F7-G7</f>
        <v>3214</v>
      </c>
      <c r="I7" s="196" t="s">
        <v>192</v>
      </c>
    </row>
    <row r="8" spans="1:9" ht="26.25" customHeight="1">
      <c r="A8" s="39"/>
      <c r="B8" s="192"/>
      <c r="C8" s="193"/>
      <c r="D8" s="194"/>
      <c r="E8" s="194"/>
      <c r="F8" s="195"/>
      <c r="G8" s="195"/>
      <c r="H8" s="195"/>
      <c r="I8" s="196"/>
    </row>
    <row r="9" spans="1:9" ht="26.25" customHeight="1">
      <c r="A9" s="39"/>
      <c r="B9" s="192"/>
      <c r="C9" s="197"/>
      <c r="D9" s="197"/>
      <c r="E9" s="194"/>
      <c r="F9" s="198"/>
      <c r="G9" s="195"/>
      <c r="H9" s="199"/>
      <c r="I9" s="196"/>
    </row>
    <row r="10" spans="1:9" ht="26.25" customHeight="1">
      <c r="A10" s="39"/>
      <c r="B10" s="192"/>
      <c r="C10" s="197"/>
      <c r="D10" s="197"/>
      <c r="E10" s="189"/>
      <c r="F10" s="200"/>
      <c r="G10" s="201"/>
      <c r="H10" s="201"/>
      <c r="I10" s="196"/>
    </row>
    <row r="11" spans="1:9" ht="15.75" thickBot="1">
      <c r="A11" s="52"/>
      <c r="B11" s="45" t="s">
        <v>156</v>
      </c>
      <c r="C11" s="190">
        <f aca="true" t="shared" si="0" ref="C11:H11">SUM(C7:C10)</f>
        <v>0</v>
      </c>
      <c r="D11" s="190">
        <f t="shared" si="0"/>
        <v>0</v>
      </c>
      <c r="E11" s="190">
        <f t="shared" si="0"/>
        <v>0</v>
      </c>
      <c r="F11" s="190">
        <f t="shared" si="0"/>
        <v>3571</v>
      </c>
      <c r="G11" s="190">
        <f t="shared" si="0"/>
        <v>357</v>
      </c>
      <c r="H11" s="190">
        <f t="shared" si="0"/>
        <v>3214</v>
      </c>
      <c r="I11" s="191"/>
    </row>
    <row r="13" ht="15.75" thickBot="1">
      <c r="A13" t="s">
        <v>157</v>
      </c>
    </row>
    <row r="14" spans="1:9" ht="15" customHeight="1">
      <c r="A14" s="185" t="s">
        <v>150</v>
      </c>
      <c r="B14" s="231" t="s">
        <v>151</v>
      </c>
      <c r="C14" s="231" t="s">
        <v>158</v>
      </c>
      <c r="D14" s="231" t="s">
        <v>159</v>
      </c>
      <c r="E14" s="231" t="s">
        <v>160</v>
      </c>
      <c r="F14" s="231" t="s">
        <v>167</v>
      </c>
      <c r="G14" s="231" t="s">
        <v>168</v>
      </c>
      <c r="H14" s="231" t="s">
        <v>169</v>
      </c>
      <c r="I14" s="233" t="s">
        <v>152</v>
      </c>
    </row>
    <row r="15" spans="1:9" ht="47.25" customHeight="1">
      <c r="A15" s="188" t="s">
        <v>153</v>
      </c>
      <c r="B15" s="232"/>
      <c r="C15" s="232"/>
      <c r="D15" s="232"/>
      <c r="E15" s="232"/>
      <c r="F15" s="232"/>
      <c r="G15" s="232"/>
      <c r="H15" s="232"/>
      <c r="I15" s="234"/>
    </row>
    <row r="16" spans="1:9" ht="27.75" customHeight="1">
      <c r="A16" s="202" t="s">
        <v>154</v>
      </c>
      <c r="B16" s="192" t="s">
        <v>263</v>
      </c>
      <c r="C16" s="197"/>
      <c r="D16" s="197"/>
      <c r="E16" s="197"/>
      <c r="F16" s="197">
        <v>4000</v>
      </c>
      <c r="G16" s="197">
        <v>4000</v>
      </c>
      <c r="H16" s="197"/>
      <c r="I16" s="196" t="s">
        <v>163</v>
      </c>
    </row>
    <row r="17" spans="1:9" ht="42" customHeight="1">
      <c r="A17" s="202" t="s">
        <v>155</v>
      </c>
      <c r="B17" s="192" t="s">
        <v>272</v>
      </c>
      <c r="C17" s="197"/>
      <c r="D17" s="197"/>
      <c r="E17" s="197"/>
      <c r="F17" s="197">
        <v>215</v>
      </c>
      <c r="G17" s="197">
        <v>215</v>
      </c>
      <c r="H17" s="197"/>
      <c r="I17" s="196" t="s">
        <v>163</v>
      </c>
    </row>
    <row r="18" spans="1:9" ht="42" customHeight="1">
      <c r="A18" s="202" t="s">
        <v>161</v>
      </c>
      <c r="B18" s="192" t="s">
        <v>274</v>
      </c>
      <c r="C18" s="197"/>
      <c r="D18" s="197"/>
      <c r="E18" s="197"/>
      <c r="F18" s="197">
        <v>435</v>
      </c>
      <c r="G18" s="197">
        <v>435</v>
      </c>
      <c r="H18" s="197"/>
      <c r="I18" s="196" t="s">
        <v>163</v>
      </c>
    </row>
    <row r="19" spans="1:9" ht="47.25" customHeight="1">
      <c r="A19" s="202" t="s">
        <v>166</v>
      </c>
      <c r="B19" s="192" t="s">
        <v>273</v>
      </c>
      <c r="C19" s="197"/>
      <c r="D19" s="197"/>
      <c r="E19" s="197"/>
      <c r="F19" s="197">
        <v>1750</v>
      </c>
      <c r="G19" s="197">
        <v>1750</v>
      </c>
      <c r="H19" s="197"/>
      <c r="I19" s="196" t="s">
        <v>163</v>
      </c>
    </row>
    <row r="20" spans="1:9" ht="15.75" thickBot="1">
      <c r="A20" s="52"/>
      <c r="B20" s="45" t="s">
        <v>156</v>
      </c>
      <c r="C20" s="190">
        <f aca="true" t="shared" si="1" ref="C20:H20">SUM(C16:C19)</f>
        <v>0</v>
      </c>
      <c r="D20" s="190">
        <f t="shared" si="1"/>
        <v>0</v>
      </c>
      <c r="E20" s="190">
        <f t="shared" si="1"/>
        <v>0</v>
      </c>
      <c r="F20" s="190">
        <f t="shared" si="1"/>
        <v>6400</v>
      </c>
      <c r="G20" s="190">
        <f t="shared" si="1"/>
        <v>6400</v>
      </c>
      <c r="H20" s="190">
        <f t="shared" si="1"/>
        <v>0</v>
      </c>
      <c r="I20" s="191"/>
    </row>
    <row r="22" ht="15.75" thickBot="1">
      <c r="A22" t="s">
        <v>162</v>
      </c>
    </row>
    <row r="23" spans="1:9" ht="15" customHeight="1">
      <c r="A23" s="185" t="s">
        <v>150</v>
      </c>
      <c r="B23" s="231" t="s">
        <v>151</v>
      </c>
      <c r="C23" s="231" t="s">
        <v>158</v>
      </c>
      <c r="D23" s="231" t="s">
        <v>159</v>
      </c>
      <c r="E23" s="231" t="s">
        <v>160</v>
      </c>
      <c r="F23" s="231" t="s">
        <v>167</v>
      </c>
      <c r="G23" s="231" t="s">
        <v>168</v>
      </c>
      <c r="H23" s="231" t="s">
        <v>169</v>
      </c>
      <c r="I23" s="233" t="s">
        <v>152</v>
      </c>
    </row>
    <row r="24" spans="1:9" ht="39.75" customHeight="1">
      <c r="A24" s="188" t="s">
        <v>153</v>
      </c>
      <c r="B24" s="232"/>
      <c r="C24" s="232"/>
      <c r="D24" s="232"/>
      <c r="E24" s="232"/>
      <c r="F24" s="232"/>
      <c r="G24" s="232"/>
      <c r="H24" s="232"/>
      <c r="I24" s="234"/>
    </row>
    <row r="25" spans="1:9" ht="15">
      <c r="A25" s="202" t="s">
        <v>154</v>
      </c>
      <c r="B25" s="192"/>
      <c r="C25" s="193"/>
      <c r="D25" s="194"/>
      <c r="E25" s="194"/>
      <c r="F25" s="193"/>
      <c r="G25" s="194"/>
      <c r="H25" s="197"/>
      <c r="I25" s="196"/>
    </row>
    <row r="26" spans="1:9" ht="15">
      <c r="A26" s="202" t="s">
        <v>155</v>
      </c>
      <c r="B26" s="192"/>
      <c r="C26" s="193"/>
      <c r="D26" s="194"/>
      <c r="E26" s="194"/>
      <c r="F26" s="193"/>
      <c r="G26" s="194"/>
      <c r="H26" s="197"/>
      <c r="I26" s="196"/>
    </row>
    <row r="27" spans="1:9" ht="15">
      <c r="A27" s="202" t="s">
        <v>161</v>
      </c>
      <c r="B27" s="192"/>
      <c r="C27" s="193"/>
      <c r="D27" s="194"/>
      <c r="E27" s="194"/>
      <c r="F27" s="197"/>
      <c r="G27" s="197"/>
      <c r="H27" s="197"/>
      <c r="I27" s="196"/>
    </row>
    <row r="28" spans="1:9" ht="15.75" thickBot="1">
      <c r="A28" s="52"/>
      <c r="B28" s="45" t="s">
        <v>156</v>
      </c>
      <c r="C28" s="190">
        <f aca="true" t="shared" si="2" ref="C28:H28">SUM(C25:C27)</f>
        <v>0</v>
      </c>
      <c r="D28" s="190">
        <f t="shared" si="2"/>
        <v>0</v>
      </c>
      <c r="E28" s="190">
        <f t="shared" si="2"/>
        <v>0</v>
      </c>
      <c r="F28" s="190">
        <f t="shared" si="2"/>
        <v>0</v>
      </c>
      <c r="G28" s="190">
        <f t="shared" si="2"/>
        <v>0</v>
      </c>
      <c r="H28" s="190">
        <f t="shared" si="2"/>
        <v>0</v>
      </c>
      <c r="I28" s="191"/>
    </row>
  </sheetData>
  <sheetProtection/>
  <mergeCells count="24">
    <mergeCell ref="B5:B6"/>
    <mergeCell ref="C5:C6"/>
    <mergeCell ref="D5:D6"/>
    <mergeCell ref="E5:E6"/>
    <mergeCell ref="F5:F6"/>
    <mergeCell ref="G5:G6"/>
    <mergeCell ref="G14:G15"/>
    <mergeCell ref="H14:H15"/>
    <mergeCell ref="I14:I15"/>
    <mergeCell ref="H5:H6"/>
    <mergeCell ref="I5:I6"/>
    <mergeCell ref="B14:B15"/>
    <mergeCell ref="C14:C15"/>
    <mergeCell ref="D14:D15"/>
    <mergeCell ref="E14:E15"/>
    <mergeCell ref="F14:F15"/>
    <mergeCell ref="H23:H24"/>
    <mergeCell ref="I23:I24"/>
    <mergeCell ref="B23:B24"/>
    <mergeCell ref="C23:C24"/>
    <mergeCell ref="D23:D24"/>
    <mergeCell ref="E23:E24"/>
    <mergeCell ref="F23:F24"/>
    <mergeCell ref="G23:G24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&amp;L&amp;G&amp;C.../2020 (II.19.) számú határozat
a Marcali Kistérségi Többcélú Társulás
2019. évi költségvetésének módosításáról</oddHeader>
    <oddFooter>&amp;C&amp;P. oldal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AA49"/>
  <sheetViews>
    <sheetView view="pageBreakPreview" zoomScale="91" zoomScaleSheetLayoutView="91" workbookViewId="0" topLeftCell="K1">
      <selection activeCell="K4" sqref="K4"/>
    </sheetView>
  </sheetViews>
  <sheetFormatPr defaultColWidth="9.140625" defaultRowHeight="15"/>
  <cols>
    <col min="7" max="7" width="10.57421875" style="0" customWidth="1"/>
    <col min="9" max="9" width="12.28125" style="0" customWidth="1"/>
    <col min="10" max="10" width="12.140625" style="0" customWidth="1"/>
    <col min="11" max="11" width="11.57421875" style="0" customWidth="1"/>
    <col min="12" max="12" width="12.8515625" style="0" customWidth="1"/>
    <col min="13" max="13" width="15.140625" style="0" customWidth="1"/>
    <col min="16" max="16" width="11.8515625" style="0" customWidth="1"/>
    <col min="17" max="17" width="12.421875" style="0" customWidth="1"/>
    <col min="18" max="18" width="12.57421875" style="0" customWidth="1"/>
    <col min="19" max="19" width="12.28125" style="0" customWidth="1"/>
    <col min="20" max="20" width="12.8515625" style="0" customWidth="1"/>
    <col min="21" max="21" width="14.421875" style="0" customWidth="1"/>
    <col min="26" max="26" width="12.140625" style="0" customWidth="1"/>
    <col min="27" max="27" width="15.140625" style="0" customWidth="1"/>
  </cols>
  <sheetData>
    <row r="2" spans="1:23" ht="15">
      <c r="A2" s="2" t="s">
        <v>201</v>
      </c>
      <c r="G2" s="208">
        <v>485</v>
      </c>
      <c r="H2" s="208">
        <v>150</v>
      </c>
      <c r="I2" s="208">
        <v>1225</v>
      </c>
      <c r="J2" s="208">
        <f>SUM(G2:I2)</f>
        <v>1860</v>
      </c>
      <c r="K2" s="208">
        <f>J2-G2</f>
        <v>1375</v>
      </c>
      <c r="W2" s="208">
        <v>160</v>
      </c>
    </row>
    <row r="3" spans="1:26" ht="15.75" thickBot="1">
      <c r="A3" s="235" t="s">
        <v>202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ht="76.5">
      <c r="A4" s="236"/>
      <c r="B4" s="237"/>
      <c r="C4" s="238"/>
      <c r="D4" s="238"/>
      <c r="E4" s="239"/>
      <c r="F4" s="209" t="s">
        <v>203</v>
      </c>
      <c r="G4" s="210" t="s">
        <v>66</v>
      </c>
      <c r="H4" s="211" t="s">
        <v>204</v>
      </c>
      <c r="I4" s="211" t="s">
        <v>205</v>
      </c>
      <c r="J4" s="211" t="s">
        <v>206</v>
      </c>
      <c r="K4" s="211" t="s">
        <v>276</v>
      </c>
      <c r="L4" s="211" t="s">
        <v>207</v>
      </c>
      <c r="M4" s="211" t="s">
        <v>208</v>
      </c>
      <c r="N4" s="211" t="s">
        <v>209</v>
      </c>
      <c r="O4" s="211" t="s">
        <v>210</v>
      </c>
      <c r="P4" s="211" t="s">
        <v>211</v>
      </c>
      <c r="Q4" s="211" t="s">
        <v>212</v>
      </c>
      <c r="R4" s="211" t="s">
        <v>213</v>
      </c>
      <c r="S4" s="211" t="s">
        <v>214</v>
      </c>
      <c r="T4" s="211" t="s">
        <v>215</v>
      </c>
      <c r="U4" s="211" t="s">
        <v>216</v>
      </c>
      <c r="V4" s="211" t="s">
        <v>217</v>
      </c>
      <c r="W4" s="211" t="s">
        <v>218</v>
      </c>
      <c r="X4" s="211" t="s">
        <v>219</v>
      </c>
      <c r="Y4" s="211" t="s">
        <v>220</v>
      </c>
      <c r="Z4" s="212" t="s">
        <v>0</v>
      </c>
    </row>
    <row r="5" spans="1:26" ht="26.25" thickBot="1">
      <c r="A5" s="240" t="s">
        <v>221</v>
      </c>
      <c r="B5" s="241"/>
      <c r="C5" s="213">
        <v>100</v>
      </c>
      <c r="D5" s="214" t="s">
        <v>222</v>
      </c>
      <c r="E5" s="213" t="s">
        <v>0</v>
      </c>
      <c r="F5" s="213"/>
      <c r="G5" s="213">
        <v>2019</v>
      </c>
      <c r="H5" s="213">
        <v>2019</v>
      </c>
      <c r="I5" s="213">
        <v>2019</v>
      </c>
      <c r="J5" s="213">
        <v>2019</v>
      </c>
      <c r="K5" s="213">
        <v>2019</v>
      </c>
      <c r="L5" s="213"/>
      <c r="M5" s="213" t="s">
        <v>0</v>
      </c>
      <c r="N5" s="213"/>
      <c r="O5" s="213"/>
      <c r="P5" s="213">
        <v>2019</v>
      </c>
      <c r="Q5" s="213">
        <v>2019</v>
      </c>
      <c r="R5" s="213">
        <v>2019</v>
      </c>
      <c r="S5" s="213"/>
      <c r="T5" s="213">
        <v>2019</v>
      </c>
      <c r="U5" s="213">
        <v>2019</v>
      </c>
      <c r="V5" s="213">
        <v>2019</v>
      </c>
      <c r="W5" s="213">
        <v>2019</v>
      </c>
      <c r="X5" s="213"/>
      <c r="Y5" s="213"/>
      <c r="Z5" s="215"/>
    </row>
    <row r="6" spans="1:27" ht="15">
      <c r="A6" s="216" t="s">
        <v>223</v>
      </c>
      <c r="B6" s="217">
        <v>1191</v>
      </c>
      <c r="C6" s="4">
        <f aca="true" t="shared" si="0" ref="C6:C45">B6*C$5</f>
        <v>119100</v>
      </c>
      <c r="D6" s="4"/>
      <c r="E6" s="4">
        <f aca="true" t="shared" si="1" ref="E6:E43">C6+D6</f>
        <v>119100</v>
      </c>
      <c r="F6" s="4"/>
      <c r="G6" s="4"/>
      <c r="H6" s="4">
        <f>B6*H$2</f>
        <v>178650</v>
      </c>
      <c r="I6" s="4"/>
      <c r="J6" s="4"/>
      <c r="K6" s="4"/>
      <c r="L6" s="4"/>
      <c r="M6" s="4">
        <f>H6+I6+K6+L6+J6</f>
        <v>178650</v>
      </c>
      <c r="N6" s="4"/>
      <c r="O6" s="4"/>
      <c r="P6" s="4"/>
      <c r="Q6" s="4"/>
      <c r="R6" s="4">
        <f aca="true" t="shared" si="2" ref="R6:R43">SUM(O6:Q6)</f>
        <v>0</v>
      </c>
      <c r="S6" s="4"/>
      <c r="T6" s="4"/>
      <c r="U6" s="4"/>
      <c r="V6" s="4">
        <v>15528</v>
      </c>
      <c r="W6" s="4">
        <f aca="true" t="shared" si="3" ref="W6:W12">B6*W$2</f>
        <v>190560</v>
      </c>
      <c r="X6" s="4"/>
      <c r="Y6" s="4"/>
      <c r="Z6" s="218">
        <f>M6+E6+W6+R6+X6+N6+Y6+G6+F6+U6+T6+S6+'[3]6.sz. fizetendő hozzájárulás'!$V6</f>
        <v>503838</v>
      </c>
      <c r="AA6" s="219" t="s">
        <v>223</v>
      </c>
    </row>
    <row r="7" spans="1:27" ht="15">
      <c r="A7" s="216" t="s">
        <v>224</v>
      </c>
      <c r="B7" s="220">
        <v>1620</v>
      </c>
      <c r="C7" s="4">
        <f t="shared" si="0"/>
        <v>162000</v>
      </c>
      <c r="D7" s="4"/>
      <c r="E7" s="4">
        <f t="shared" si="1"/>
        <v>162000</v>
      </c>
      <c r="F7" s="4"/>
      <c r="G7" s="4">
        <f>B7*$G$2</f>
        <v>785700</v>
      </c>
      <c r="H7" s="4">
        <f>B7*H$2</f>
        <v>243000</v>
      </c>
      <c r="I7" s="4"/>
      <c r="J7" s="4"/>
      <c r="K7" s="4"/>
      <c r="L7" s="4"/>
      <c r="M7" s="4">
        <f aca="true" t="shared" si="4" ref="M7:M42">H7+I7+K7+L7+J7</f>
        <v>243000</v>
      </c>
      <c r="N7" s="4"/>
      <c r="O7" s="4"/>
      <c r="P7" s="4">
        <f>4967438+688048</f>
        <v>5655486</v>
      </c>
      <c r="Q7" s="4"/>
      <c r="R7" s="4">
        <f t="shared" si="2"/>
        <v>5655486</v>
      </c>
      <c r="S7" s="4"/>
      <c r="T7" s="4"/>
      <c r="U7" s="4"/>
      <c r="V7" s="4">
        <v>10700</v>
      </c>
      <c r="W7" s="4">
        <f t="shared" si="3"/>
        <v>259200</v>
      </c>
      <c r="X7" s="4"/>
      <c r="Y7" s="4"/>
      <c r="Z7" s="218">
        <f>M7+E7+W7+R7+X7+N7+Y7+G7+F7+U7+T7+S7+'[3]6.sz. fizetendő hozzájárulás'!$V7</f>
        <v>7116086</v>
      </c>
      <c r="AA7" s="221" t="s">
        <v>224</v>
      </c>
    </row>
    <row r="8" spans="1:27" ht="15">
      <c r="A8" s="216" t="s">
        <v>225</v>
      </c>
      <c r="B8" s="217">
        <v>771</v>
      </c>
      <c r="C8" s="4">
        <f t="shared" si="0"/>
        <v>77100</v>
      </c>
      <c r="D8" s="4"/>
      <c r="E8" s="4">
        <f t="shared" si="1"/>
        <v>77100</v>
      </c>
      <c r="F8" s="4"/>
      <c r="G8" s="4">
        <f>B8*$G$2</f>
        <v>373935</v>
      </c>
      <c r="H8" s="4">
        <f>B8*H$2</f>
        <v>115650</v>
      </c>
      <c r="I8" s="4"/>
      <c r="J8" s="4"/>
      <c r="K8" s="4"/>
      <c r="L8" s="4"/>
      <c r="M8" s="4">
        <f t="shared" si="4"/>
        <v>115650</v>
      </c>
      <c r="N8" s="4"/>
      <c r="O8" s="4"/>
      <c r="P8" s="4">
        <f>2320694+298318</f>
        <v>2619012</v>
      </c>
      <c r="Q8" s="4"/>
      <c r="R8" s="4">
        <f t="shared" si="2"/>
        <v>2619012</v>
      </c>
      <c r="S8" s="4"/>
      <c r="T8" s="4"/>
      <c r="U8" s="4"/>
      <c r="V8" s="4">
        <v>9815</v>
      </c>
      <c r="W8" s="4">
        <f t="shared" si="3"/>
        <v>123360</v>
      </c>
      <c r="X8" s="4"/>
      <c r="Y8" s="4"/>
      <c r="Z8" s="218">
        <f>M8+E8+W8+R8+X8+N8+Y8+G8+F8+U8+T8+S8+'[3]6.sz. fizetendő hozzájárulás'!$V8</f>
        <v>3318872</v>
      </c>
      <c r="AA8" s="221" t="s">
        <v>225</v>
      </c>
    </row>
    <row r="9" spans="1:27" ht="15">
      <c r="A9" s="216" t="s">
        <v>226</v>
      </c>
      <c r="B9" s="220">
        <v>1700</v>
      </c>
      <c r="C9" s="4">
        <f t="shared" si="0"/>
        <v>170000</v>
      </c>
      <c r="D9" s="4"/>
      <c r="E9" s="4">
        <f t="shared" si="1"/>
        <v>170000</v>
      </c>
      <c r="F9" s="4"/>
      <c r="G9" s="4"/>
      <c r="H9" s="4">
        <f>B9*H$2</f>
        <v>255000</v>
      </c>
      <c r="I9" s="4"/>
      <c r="J9" s="4"/>
      <c r="K9" s="4"/>
      <c r="L9" s="4"/>
      <c r="M9" s="4">
        <f t="shared" si="4"/>
        <v>255000</v>
      </c>
      <c r="N9" s="4"/>
      <c r="O9" s="4"/>
      <c r="P9" s="4"/>
      <c r="Q9" s="4"/>
      <c r="R9" s="4">
        <f t="shared" si="2"/>
        <v>0</v>
      </c>
      <c r="S9" s="4"/>
      <c r="T9" s="4"/>
      <c r="U9" s="4"/>
      <c r="V9" s="4">
        <v>9445</v>
      </c>
      <c r="W9" s="4">
        <f t="shared" si="3"/>
        <v>272000</v>
      </c>
      <c r="X9" s="4"/>
      <c r="Y9" s="4"/>
      <c r="Z9" s="218">
        <f>M9+E9+W9+R9+X9+N9+Y9+G9+F9+U9+T9+S9+'[3]6.sz. fizetendő hozzájárulás'!$V9</f>
        <v>706445</v>
      </c>
      <c r="AA9" s="221" t="s">
        <v>226</v>
      </c>
    </row>
    <row r="10" spans="1:27" ht="15">
      <c r="A10" s="216" t="s">
        <v>227</v>
      </c>
      <c r="B10" s="217">
        <v>485</v>
      </c>
      <c r="C10" s="4">
        <f t="shared" si="0"/>
        <v>48500</v>
      </c>
      <c r="D10" s="4"/>
      <c r="E10" s="4">
        <f t="shared" si="1"/>
        <v>48500</v>
      </c>
      <c r="F10" s="4"/>
      <c r="G10" s="4">
        <f aca="true" t="shared" si="5" ref="G10:G15">B10*$G$2</f>
        <v>235225</v>
      </c>
      <c r="H10" s="4">
        <f>B10*H$2</f>
        <v>72750</v>
      </c>
      <c r="I10" s="4"/>
      <c r="J10" s="4"/>
      <c r="K10" s="4"/>
      <c r="L10" s="4"/>
      <c r="M10" s="4">
        <f t="shared" si="4"/>
        <v>72750</v>
      </c>
      <c r="N10" s="4"/>
      <c r="O10" s="4"/>
      <c r="P10" s="4"/>
      <c r="Q10" s="4"/>
      <c r="R10" s="4">
        <f t="shared" si="2"/>
        <v>0</v>
      </c>
      <c r="S10" s="4"/>
      <c r="T10" s="4"/>
      <c r="U10" s="4"/>
      <c r="V10" s="4">
        <v>1453</v>
      </c>
      <c r="W10" s="4">
        <f t="shared" si="3"/>
        <v>77600</v>
      </c>
      <c r="X10" s="4"/>
      <c r="Y10" s="4"/>
      <c r="Z10" s="218">
        <f>M10+E10+W10+R10+X10+N10+Y10+G10+F10+U10+T10+S10+'[3]6.sz. fizetendő hozzájárulás'!$V10</f>
        <v>435528</v>
      </c>
      <c r="AA10" s="221" t="s">
        <v>227</v>
      </c>
    </row>
    <row r="11" spans="1:27" ht="15">
      <c r="A11" s="216" t="s">
        <v>228</v>
      </c>
      <c r="B11" s="220">
        <v>2317</v>
      </c>
      <c r="C11" s="4">
        <f t="shared" si="0"/>
        <v>231700</v>
      </c>
      <c r="D11" s="4"/>
      <c r="E11" s="4">
        <f t="shared" si="1"/>
        <v>231700</v>
      </c>
      <c r="F11" s="4"/>
      <c r="G11" s="4">
        <f t="shared" si="5"/>
        <v>1123745</v>
      </c>
      <c r="H11" s="4">
        <v>146687</v>
      </c>
      <c r="I11" s="4"/>
      <c r="J11" s="4"/>
      <c r="K11" s="4"/>
      <c r="L11" s="4"/>
      <c r="M11" s="4">
        <f t="shared" si="4"/>
        <v>146687</v>
      </c>
      <c r="N11" s="4"/>
      <c r="O11" s="4"/>
      <c r="P11" s="4"/>
      <c r="Q11" s="4"/>
      <c r="R11" s="4">
        <f t="shared" si="2"/>
        <v>0</v>
      </c>
      <c r="S11" s="4"/>
      <c r="T11" s="4"/>
      <c r="U11" s="4"/>
      <c r="V11" s="4"/>
      <c r="W11" s="4">
        <f t="shared" si="3"/>
        <v>370720</v>
      </c>
      <c r="X11" s="4"/>
      <c r="Y11" s="4"/>
      <c r="Z11" s="218">
        <f>M11+E11+W11+R11+X11+N11+Y11+G11+F11+U11+T11+S11+'[3]6.sz. fizetendő hozzájárulás'!$V11</f>
        <v>1872852</v>
      </c>
      <c r="AA11" s="221" t="s">
        <v>228</v>
      </c>
    </row>
    <row r="12" spans="1:27" ht="15">
      <c r="A12" s="216" t="s">
        <v>229</v>
      </c>
      <c r="B12" s="217">
        <v>304</v>
      </c>
      <c r="C12" s="4">
        <f t="shared" si="0"/>
        <v>30400</v>
      </c>
      <c r="D12" s="4"/>
      <c r="E12" s="4">
        <f t="shared" si="1"/>
        <v>30400</v>
      </c>
      <c r="F12" s="4"/>
      <c r="G12" s="4">
        <f t="shared" si="5"/>
        <v>147440</v>
      </c>
      <c r="H12" s="4">
        <f aca="true" t="shared" si="6" ref="H12:H29">B12*H$2</f>
        <v>45600</v>
      </c>
      <c r="I12" s="4">
        <f>B12*$I$2</f>
        <v>372400</v>
      </c>
      <c r="J12" s="4"/>
      <c r="K12" s="4"/>
      <c r="L12" s="4"/>
      <c r="M12" s="4">
        <f t="shared" si="4"/>
        <v>418000</v>
      </c>
      <c r="N12" s="4"/>
      <c r="O12" s="4"/>
      <c r="P12" s="4"/>
      <c r="Q12" s="4"/>
      <c r="R12" s="4">
        <f t="shared" si="2"/>
        <v>0</v>
      </c>
      <c r="S12" s="4"/>
      <c r="T12" s="4"/>
      <c r="U12" s="4"/>
      <c r="V12" s="4">
        <v>1016</v>
      </c>
      <c r="W12" s="4">
        <f t="shared" si="3"/>
        <v>48640</v>
      </c>
      <c r="X12" s="4"/>
      <c r="Y12" s="4"/>
      <c r="Z12" s="218">
        <f>M12+E12+W12+R12+X12+N12+Y12+G12+F12+U12+T12+S12+'[3]6.sz. fizetendő hozzájárulás'!$V12</f>
        <v>645496</v>
      </c>
      <c r="AA12" s="221" t="s">
        <v>229</v>
      </c>
    </row>
    <row r="13" spans="1:27" ht="15">
      <c r="A13" s="216" t="s">
        <v>230</v>
      </c>
      <c r="B13" s="220">
        <v>294</v>
      </c>
      <c r="C13" s="4">
        <f t="shared" si="0"/>
        <v>29400</v>
      </c>
      <c r="D13" s="4"/>
      <c r="E13" s="4">
        <f t="shared" si="1"/>
        <v>29400</v>
      </c>
      <c r="F13" s="4"/>
      <c r="G13" s="4">
        <f t="shared" si="5"/>
        <v>142590</v>
      </c>
      <c r="H13" s="4">
        <f t="shared" si="6"/>
        <v>44100</v>
      </c>
      <c r="I13" s="4"/>
      <c r="J13" s="4"/>
      <c r="K13" s="4"/>
      <c r="L13" s="4"/>
      <c r="M13" s="4">
        <f t="shared" si="4"/>
        <v>44100</v>
      </c>
      <c r="N13" s="4"/>
      <c r="O13" s="4"/>
      <c r="P13" s="4"/>
      <c r="Q13" s="4"/>
      <c r="R13" s="4">
        <f t="shared" si="2"/>
        <v>0</v>
      </c>
      <c r="S13" s="4"/>
      <c r="T13" s="4"/>
      <c r="U13" s="4"/>
      <c r="V13" s="4">
        <v>1208</v>
      </c>
      <c r="W13" s="4">
        <v>0</v>
      </c>
      <c r="X13" s="4"/>
      <c r="Y13" s="4"/>
      <c r="Z13" s="218">
        <f>M13+E13+W13+R13+X13+N13+Y13+G13+F13+U13+T13+S13+'[3]6.sz. fizetendő hozzájárulás'!$V13</f>
        <v>217298</v>
      </c>
      <c r="AA13" s="221" t="s">
        <v>230</v>
      </c>
    </row>
    <row r="14" spans="1:27" ht="15">
      <c r="A14" s="216" t="s">
        <v>231</v>
      </c>
      <c r="B14" s="217">
        <v>83</v>
      </c>
      <c r="C14" s="4">
        <f t="shared" si="0"/>
        <v>8300</v>
      </c>
      <c r="D14" s="4"/>
      <c r="E14" s="4">
        <f t="shared" si="1"/>
        <v>8300</v>
      </c>
      <c r="F14" s="4"/>
      <c r="G14" s="4">
        <f t="shared" si="5"/>
        <v>40255</v>
      </c>
      <c r="H14" s="4">
        <f t="shared" si="6"/>
        <v>12450</v>
      </c>
      <c r="I14" s="4"/>
      <c r="J14" s="4"/>
      <c r="K14" s="4"/>
      <c r="L14" s="4"/>
      <c r="M14" s="4">
        <f t="shared" si="4"/>
        <v>12450</v>
      </c>
      <c r="N14" s="4"/>
      <c r="O14" s="4"/>
      <c r="P14" s="4"/>
      <c r="Q14" s="4"/>
      <c r="R14" s="4">
        <f t="shared" si="2"/>
        <v>0</v>
      </c>
      <c r="S14" s="4"/>
      <c r="T14" s="4"/>
      <c r="U14" s="4"/>
      <c r="V14" s="4">
        <v>387</v>
      </c>
      <c r="W14" s="4">
        <f>B14*W$2</f>
        <v>13280</v>
      </c>
      <c r="X14" s="4"/>
      <c r="Y14" s="4"/>
      <c r="Z14" s="218">
        <f>M14+E14+W14+R14+X14+N14+Y14+G14+F14+U14+T14+S14+'[3]6.sz. fizetendő hozzájárulás'!$V14</f>
        <v>74672</v>
      </c>
      <c r="AA14" s="221" t="s">
        <v>231</v>
      </c>
    </row>
    <row r="15" spans="1:27" ht="15">
      <c r="A15" s="216" t="s">
        <v>232</v>
      </c>
      <c r="B15" s="220">
        <v>351</v>
      </c>
      <c r="C15" s="4">
        <f t="shared" si="0"/>
        <v>35100</v>
      </c>
      <c r="D15" s="4">
        <v>34100</v>
      </c>
      <c r="E15" s="4">
        <f t="shared" si="1"/>
        <v>69200</v>
      </c>
      <c r="F15" s="4">
        <v>107415</v>
      </c>
      <c r="G15" s="4">
        <f t="shared" si="5"/>
        <v>170235</v>
      </c>
      <c r="H15" s="4">
        <f t="shared" si="6"/>
        <v>52650</v>
      </c>
      <c r="I15" s="4"/>
      <c r="J15" s="4"/>
      <c r="K15" s="4"/>
      <c r="L15" s="4">
        <v>42625</v>
      </c>
      <c r="M15" s="4">
        <f t="shared" si="4"/>
        <v>95275</v>
      </c>
      <c r="N15" s="4">
        <v>27280</v>
      </c>
      <c r="O15" s="4"/>
      <c r="P15" s="4"/>
      <c r="Q15" s="4"/>
      <c r="R15" s="4">
        <f t="shared" si="2"/>
        <v>0</v>
      </c>
      <c r="S15" s="4"/>
      <c r="T15" s="4"/>
      <c r="U15" s="4"/>
      <c r="V15" s="4">
        <v>2186</v>
      </c>
      <c r="W15" s="4">
        <v>0</v>
      </c>
      <c r="X15" s="4"/>
      <c r="Y15" s="4"/>
      <c r="Z15" s="218">
        <f>M15+E15+W15+R15+X15+N15+Y15+G15+F15+U15+T15+S15+'[3]6.sz. fizetendő hozzájárulás'!$V15</f>
        <v>471591</v>
      </c>
      <c r="AA15" s="221" t="s">
        <v>232</v>
      </c>
    </row>
    <row r="16" spans="1:27" ht="15">
      <c r="A16" s="216" t="s">
        <v>233</v>
      </c>
      <c r="B16" s="217">
        <v>264</v>
      </c>
      <c r="C16" s="4">
        <f t="shared" si="0"/>
        <v>26400</v>
      </c>
      <c r="D16" s="4"/>
      <c r="E16" s="4">
        <f t="shared" si="1"/>
        <v>26400</v>
      </c>
      <c r="F16" s="4"/>
      <c r="G16" s="4"/>
      <c r="H16" s="4">
        <f t="shared" si="6"/>
        <v>39600</v>
      </c>
      <c r="I16" s="4"/>
      <c r="J16" s="4"/>
      <c r="K16" s="4"/>
      <c r="L16" s="4"/>
      <c r="M16" s="4">
        <f t="shared" si="4"/>
        <v>39600</v>
      </c>
      <c r="N16" s="4"/>
      <c r="O16" s="4"/>
      <c r="P16" s="4"/>
      <c r="Q16" s="4"/>
      <c r="R16" s="4">
        <f t="shared" si="2"/>
        <v>0</v>
      </c>
      <c r="S16" s="4"/>
      <c r="T16" s="4"/>
      <c r="U16" s="4"/>
      <c r="V16" s="4">
        <v>1436</v>
      </c>
      <c r="W16" s="4">
        <f>B16*W$2</f>
        <v>42240</v>
      </c>
      <c r="X16" s="4"/>
      <c r="Y16" s="4"/>
      <c r="Z16" s="218">
        <f>M16+E16+W16+R16+X16+N16+Y16+G16+F16+U16+T16+S16+'[3]6.sz. fizetendő hozzájárulás'!$V16</f>
        <v>109676</v>
      </c>
      <c r="AA16" s="221" t="s">
        <v>233</v>
      </c>
    </row>
    <row r="17" spans="1:27" ht="15">
      <c r="A17" s="216" t="s">
        <v>234</v>
      </c>
      <c r="B17" s="220">
        <v>50</v>
      </c>
      <c r="C17" s="4">
        <f t="shared" si="0"/>
        <v>5000</v>
      </c>
      <c r="D17" s="4"/>
      <c r="E17" s="4">
        <f t="shared" si="1"/>
        <v>5000</v>
      </c>
      <c r="F17" s="4"/>
      <c r="G17" s="4">
        <f aca="true" t="shared" si="7" ref="G17:G39">B17*$G$2</f>
        <v>24250</v>
      </c>
      <c r="H17" s="4">
        <f t="shared" si="6"/>
        <v>7500</v>
      </c>
      <c r="I17" s="4"/>
      <c r="J17" s="4"/>
      <c r="K17" s="4"/>
      <c r="L17" s="4"/>
      <c r="M17" s="4">
        <f t="shared" si="4"/>
        <v>7500</v>
      </c>
      <c r="N17" s="4"/>
      <c r="O17" s="4"/>
      <c r="P17" s="4"/>
      <c r="Q17" s="4"/>
      <c r="R17" s="4">
        <f t="shared" si="2"/>
        <v>0</v>
      </c>
      <c r="S17" s="4"/>
      <c r="T17" s="4"/>
      <c r="U17" s="4"/>
      <c r="V17" s="4">
        <v>610</v>
      </c>
      <c r="W17" s="4">
        <v>0</v>
      </c>
      <c r="X17" s="4"/>
      <c r="Y17" s="4"/>
      <c r="Z17" s="218">
        <f>M17+E17+W17+R17+X17+N17+Y17+G17+F17+U17+T17+S17+'[3]6.sz. fizetendő hozzájárulás'!$V17</f>
        <v>37360</v>
      </c>
      <c r="AA17" s="221" t="s">
        <v>234</v>
      </c>
    </row>
    <row r="18" spans="1:27" ht="15">
      <c r="A18" s="216" t="s">
        <v>235</v>
      </c>
      <c r="B18" s="217">
        <v>353</v>
      </c>
      <c r="C18" s="4">
        <f t="shared" si="0"/>
        <v>35300</v>
      </c>
      <c r="D18" s="4">
        <v>33900</v>
      </c>
      <c r="E18" s="4">
        <f t="shared" si="1"/>
        <v>69200</v>
      </c>
      <c r="F18" s="4">
        <v>162931</v>
      </c>
      <c r="G18" s="4">
        <f t="shared" si="7"/>
        <v>171205</v>
      </c>
      <c r="H18" s="4">
        <f t="shared" si="6"/>
        <v>52950</v>
      </c>
      <c r="I18" s="4"/>
      <c r="J18" s="4"/>
      <c r="K18" s="4"/>
      <c r="L18" s="4">
        <v>42375</v>
      </c>
      <c r="M18" s="4">
        <f t="shared" si="4"/>
        <v>95325</v>
      </c>
      <c r="N18" s="4">
        <v>27120</v>
      </c>
      <c r="O18" s="4"/>
      <c r="P18" s="4"/>
      <c r="Q18" s="4"/>
      <c r="R18" s="4">
        <f t="shared" si="2"/>
        <v>0</v>
      </c>
      <c r="S18" s="4"/>
      <c r="T18" s="4"/>
      <c r="U18" s="4"/>
      <c r="V18" s="4"/>
      <c r="W18" s="4">
        <f>B18*W$2</f>
        <v>56480</v>
      </c>
      <c r="X18" s="4">
        <v>54240</v>
      </c>
      <c r="Y18" s="4"/>
      <c r="Z18" s="218">
        <f>M18+E18+W18+R18+X18+N18+Y18+G18+F18+U18+T18+S18+'[3]6.sz. fizetendő hozzájárulás'!$V18</f>
        <v>636501</v>
      </c>
      <c r="AA18" s="221" t="s">
        <v>235</v>
      </c>
    </row>
    <row r="19" spans="1:27" ht="15">
      <c r="A19" s="216" t="s">
        <v>236</v>
      </c>
      <c r="B19" s="220">
        <v>2322</v>
      </c>
      <c r="C19" s="4">
        <f t="shared" si="0"/>
        <v>232200</v>
      </c>
      <c r="D19" s="4"/>
      <c r="E19" s="4">
        <f t="shared" si="1"/>
        <v>232200</v>
      </c>
      <c r="F19" s="4"/>
      <c r="G19" s="4">
        <f t="shared" si="7"/>
        <v>1126170</v>
      </c>
      <c r="H19" s="4">
        <f t="shared" si="6"/>
        <v>348300</v>
      </c>
      <c r="I19" s="4"/>
      <c r="J19" s="4"/>
      <c r="K19" s="4"/>
      <c r="L19" s="4"/>
      <c r="M19" s="4">
        <f t="shared" si="4"/>
        <v>348300</v>
      </c>
      <c r="N19" s="4"/>
      <c r="O19" s="4"/>
      <c r="P19" s="4"/>
      <c r="Q19" s="4"/>
      <c r="R19" s="4">
        <f t="shared" si="2"/>
        <v>0</v>
      </c>
      <c r="S19" s="4"/>
      <c r="T19" s="4"/>
      <c r="U19" s="4"/>
      <c r="V19" s="4">
        <v>13837</v>
      </c>
      <c r="W19" s="4">
        <f>B19*W$2</f>
        <v>371520</v>
      </c>
      <c r="X19" s="4"/>
      <c r="Y19" s="4"/>
      <c r="Z19" s="218">
        <f>M19+E19+W19+R19+X19+N19+Y19+G19+F19+U19+T19+S19+'[3]6.sz. fizetendő hozzájárulás'!$V19</f>
        <v>2092027</v>
      </c>
      <c r="AA19" s="221" t="s">
        <v>236</v>
      </c>
    </row>
    <row r="20" spans="1:27" ht="15">
      <c r="A20" s="216" t="s">
        <v>237</v>
      </c>
      <c r="B20" s="217">
        <v>40</v>
      </c>
      <c r="C20" s="4">
        <f t="shared" si="0"/>
        <v>4000</v>
      </c>
      <c r="D20" s="4"/>
      <c r="E20" s="4">
        <f t="shared" si="1"/>
        <v>4000</v>
      </c>
      <c r="F20" s="4"/>
      <c r="G20" s="4">
        <f t="shared" si="7"/>
        <v>19400</v>
      </c>
      <c r="H20" s="4">
        <f t="shared" si="6"/>
        <v>6000</v>
      </c>
      <c r="I20" s="4"/>
      <c r="J20" s="4"/>
      <c r="K20" s="4"/>
      <c r="L20" s="4"/>
      <c r="M20" s="4">
        <f t="shared" si="4"/>
        <v>6000</v>
      </c>
      <c r="N20" s="4"/>
      <c r="O20" s="4"/>
      <c r="P20" s="4"/>
      <c r="Q20" s="4"/>
      <c r="R20" s="4">
        <f t="shared" si="2"/>
        <v>0</v>
      </c>
      <c r="S20" s="4"/>
      <c r="T20" s="4"/>
      <c r="U20" s="4"/>
      <c r="V20" s="4"/>
      <c r="W20" s="4">
        <f>B20*W$2</f>
        <v>6400</v>
      </c>
      <c r="X20" s="4"/>
      <c r="Y20" s="4"/>
      <c r="Z20" s="218">
        <f>M20+E20+W20+R20+X20+N20+Y20+G20+F20+U20+T20+S20+'[3]6.sz. fizetendő hozzájárulás'!$V20</f>
        <v>35800</v>
      </c>
      <c r="AA20" s="221" t="s">
        <v>237</v>
      </c>
    </row>
    <row r="21" spans="1:27" ht="15">
      <c r="A21" s="216" t="s">
        <v>238</v>
      </c>
      <c r="B21" s="220">
        <v>11500</v>
      </c>
      <c r="C21" s="4">
        <f t="shared" si="0"/>
        <v>1150000</v>
      </c>
      <c r="D21" s="4"/>
      <c r="E21" s="4">
        <f t="shared" si="1"/>
        <v>1150000</v>
      </c>
      <c r="F21" s="4"/>
      <c r="G21" s="4">
        <f t="shared" si="7"/>
        <v>5577500</v>
      </c>
      <c r="H21" s="4">
        <f t="shared" si="6"/>
        <v>1725000</v>
      </c>
      <c r="I21" s="4">
        <f>B21*$I$2</f>
        <v>14087500</v>
      </c>
      <c r="J21" s="4">
        <f>13083000-12000003</f>
        <v>1082997</v>
      </c>
      <c r="K21" s="4">
        <v>245661000</v>
      </c>
      <c r="L21" s="4">
        <f>35000000-17048928</f>
        <v>17951072</v>
      </c>
      <c r="M21" s="4">
        <f>H21+I21+K21+L21+J21</f>
        <v>280507569</v>
      </c>
      <c r="N21" s="222"/>
      <c r="O21" s="222">
        <v>6296685</v>
      </c>
      <c r="P21" s="222">
        <f>48088370-7674299</f>
        <v>40414071</v>
      </c>
      <c r="Q21" s="222">
        <f>255575550+163000</f>
        <v>255738550</v>
      </c>
      <c r="R21" s="222">
        <f t="shared" si="2"/>
        <v>302449306</v>
      </c>
      <c r="S21" s="222">
        <v>3800000</v>
      </c>
      <c r="T21" s="222">
        <f>119915743+706000</f>
        <v>120621743</v>
      </c>
      <c r="U21" s="222">
        <f>12161000+6515950+12003000</f>
        <v>30679950</v>
      </c>
      <c r="V21" s="222"/>
      <c r="W21" s="4">
        <f>B21*W$2</f>
        <v>1840000</v>
      </c>
      <c r="X21" s="222"/>
      <c r="Y21" s="222">
        <v>1306293</v>
      </c>
      <c r="Z21" s="218">
        <f>M21+E21+W21+R21+X21+N21+Y21+G21+F21+U21+T21+S21+'[3]6.sz. fizetendő hozzájárulás'!$V21</f>
        <v>747932361</v>
      </c>
      <c r="AA21" s="221" t="s">
        <v>238</v>
      </c>
    </row>
    <row r="22" spans="1:27" ht="15">
      <c r="A22" s="216" t="s">
        <v>239</v>
      </c>
      <c r="B22" s="217">
        <v>1304</v>
      </c>
      <c r="C22" s="4">
        <f t="shared" si="0"/>
        <v>130400</v>
      </c>
      <c r="D22" s="4">
        <v>266000</v>
      </c>
      <c r="E22" s="4">
        <f t="shared" si="1"/>
        <v>396400</v>
      </c>
      <c r="F22" s="4">
        <v>416745</v>
      </c>
      <c r="G22" s="4">
        <f t="shared" si="7"/>
        <v>632440</v>
      </c>
      <c r="H22" s="4">
        <f t="shared" si="6"/>
        <v>195600</v>
      </c>
      <c r="I22" s="4"/>
      <c r="J22" s="4"/>
      <c r="K22" s="4"/>
      <c r="L22" s="4">
        <v>165375</v>
      </c>
      <c r="M22" s="4">
        <f>H22+I22+K22+L22+J22</f>
        <v>360975</v>
      </c>
      <c r="N22" s="4">
        <v>105840</v>
      </c>
      <c r="O22" s="4"/>
      <c r="P22" s="4"/>
      <c r="Q22" s="4"/>
      <c r="R22" s="4">
        <f t="shared" si="2"/>
        <v>0</v>
      </c>
      <c r="S22" s="4"/>
      <c r="T22" s="4"/>
      <c r="U22" s="4"/>
      <c r="V22" s="4">
        <v>16258</v>
      </c>
      <c r="W22" s="4">
        <v>0</v>
      </c>
      <c r="X22" s="4"/>
      <c r="Y22" s="4"/>
      <c r="Z22" s="218">
        <f>M22+E22+W22+R22+X22+N22+Y22+G22+F22+U22+T22+S22+'[3]6.sz. fizetendő hozzájárulás'!$V22</f>
        <v>1928658</v>
      </c>
      <c r="AA22" s="221" t="s">
        <v>239</v>
      </c>
    </row>
    <row r="23" spans="1:27" ht="15">
      <c r="A23" s="216" t="s">
        <v>240</v>
      </c>
      <c r="B23" s="220">
        <v>477</v>
      </c>
      <c r="C23" s="4">
        <f t="shared" si="0"/>
        <v>47700</v>
      </c>
      <c r="D23" s="4"/>
      <c r="E23" s="4">
        <f t="shared" si="1"/>
        <v>47700</v>
      </c>
      <c r="F23" s="4"/>
      <c r="G23" s="4">
        <f t="shared" si="7"/>
        <v>231345</v>
      </c>
      <c r="H23" s="4">
        <f t="shared" si="6"/>
        <v>71550</v>
      </c>
      <c r="I23" s="4">
        <f>B23*$I$2</f>
        <v>584325</v>
      </c>
      <c r="J23" s="4"/>
      <c r="K23" s="4"/>
      <c r="L23" s="4"/>
      <c r="M23" s="4">
        <f t="shared" si="4"/>
        <v>655875</v>
      </c>
      <c r="N23" s="4"/>
      <c r="O23" s="4"/>
      <c r="P23" s="4"/>
      <c r="Q23" s="4"/>
      <c r="R23" s="4">
        <f t="shared" si="2"/>
        <v>0</v>
      </c>
      <c r="S23" s="4"/>
      <c r="T23" s="4"/>
      <c r="U23" s="4"/>
      <c r="V23" s="4">
        <v>2889</v>
      </c>
      <c r="W23" s="4">
        <v>0</v>
      </c>
      <c r="X23" s="4"/>
      <c r="Y23" s="4"/>
      <c r="Z23" s="218">
        <f>M23+E23+W23+R23+X23+N23+Y23+G23+F23+U23+T23+S23+'[3]6.sz. fizetendő hozzájárulás'!$V23</f>
        <v>937809</v>
      </c>
      <c r="AA23" s="221" t="s">
        <v>240</v>
      </c>
    </row>
    <row r="24" spans="1:27" ht="15">
      <c r="A24" s="216" t="s">
        <v>241</v>
      </c>
      <c r="B24" s="217">
        <v>806</v>
      </c>
      <c r="C24" s="4">
        <f t="shared" si="0"/>
        <v>80600</v>
      </c>
      <c r="D24" s="4">
        <v>78200</v>
      </c>
      <c r="E24" s="4">
        <f t="shared" si="1"/>
        <v>158800</v>
      </c>
      <c r="F24" s="4">
        <v>246330</v>
      </c>
      <c r="G24" s="4">
        <f t="shared" si="7"/>
        <v>390910</v>
      </c>
      <c r="H24" s="4">
        <f t="shared" si="6"/>
        <v>120900</v>
      </c>
      <c r="I24" s="4"/>
      <c r="J24" s="4"/>
      <c r="K24" s="4"/>
      <c r="L24" s="4">
        <v>97750</v>
      </c>
      <c r="M24" s="4">
        <f t="shared" si="4"/>
        <v>218650</v>
      </c>
      <c r="N24" s="4">
        <v>62560</v>
      </c>
      <c r="O24" s="4"/>
      <c r="P24" s="4"/>
      <c r="Q24" s="4"/>
      <c r="R24" s="4">
        <f t="shared" si="2"/>
        <v>0</v>
      </c>
      <c r="S24" s="4"/>
      <c r="T24" s="4"/>
      <c r="U24" s="4"/>
      <c r="V24" s="4">
        <v>9858</v>
      </c>
      <c r="W24" s="4">
        <f>B24*W$2</f>
        <v>128960</v>
      </c>
      <c r="X24" s="4">
        <v>125120</v>
      </c>
      <c r="Y24" s="4"/>
      <c r="Z24" s="218">
        <f>M24+E24+W24+R24+X24+N24+Y24+G24+F24+U24+T24+S24+'[3]6.sz. fizetendő hozzájárulás'!$V24</f>
        <v>1341188</v>
      </c>
      <c r="AA24" s="221" t="s">
        <v>241</v>
      </c>
    </row>
    <row r="25" spans="1:27" ht="15">
      <c r="A25" s="216" t="s">
        <v>242</v>
      </c>
      <c r="B25" s="220">
        <v>132</v>
      </c>
      <c r="C25" s="4">
        <f t="shared" si="0"/>
        <v>13200</v>
      </c>
      <c r="D25" s="4"/>
      <c r="E25" s="4">
        <f t="shared" si="1"/>
        <v>13200</v>
      </c>
      <c r="F25" s="4"/>
      <c r="G25" s="4">
        <f t="shared" si="7"/>
        <v>64020</v>
      </c>
      <c r="H25" s="4">
        <f t="shared" si="6"/>
        <v>19800</v>
      </c>
      <c r="I25" s="4"/>
      <c r="J25" s="4"/>
      <c r="K25" s="4"/>
      <c r="L25" s="4"/>
      <c r="M25" s="4">
        <f t="shared" si="4"/>
        <v>19800</v>
      </c>
      <c r="N25" s="4"/>
      <c r="O25" s="4"/>
      <c r="P25" s="4"/>
      <c r="Q25" s="4"/>
      <c r="R25" s="4">
        <f t="shared" si="2"/>
        <v>0</v>
      </c>
      <c r="S25" s="4"/>
      <c r="T25" s="4"/>
      <c r="U25" s="4"/>
      <c r="V25" s="4">
        <v>739</v>
      </c>
      <c r="W25" s="4">
        <f>B25*W$2</f>
        <v>21120</v>
      </c>
      <c r="X25" s="4"/>
      <c r="Y25" s="4"/>
      <c r="Z25" s="218">
        <f>M25+E25+W25+R25+X25+N25+Y25+G25+F25+U25+T25+S25+'[3]6.sz. fizetendő hozzájárulás'!$V25</f>
        <v>118879</v>
      </c>
      <c r="AA25" s="221" t="s">
        <v>242</v>
      </c>
    </row>
    <row r="26" spans="1:27" ht="15">
      <c r="A26" s="216" t="s">
        <v>243</v>
      </c>
      <c r="B26" s="217">
        <v>756</v>
      </c>
      <c r="C26" s="4">
        <f t="shared" si="0"/>
        <v>75600</v>
      </c>
      <c r="D26" s="4">
        <v>39000</v>
      </c>
      <c r="E26" s="4">
        <f t="shared" si="1"/>
        <v>114600</v>
      </c>
      <c r="F26" s="4">
        <v>122850</v>
      </c>
      <c r="G26" s="4">
        <f t="shared" si="7"/>
        <v>366660</v>
      </c>
      <c r="H26" s="4">
        <f t="shared" si="6"/>
        <v>113400</v>
      </c>
      <c r="I26" s="4">
        <f>B26*$I$2</f>
        <v>926100</v>
      </c>
      <c r="J26" s="4"/>
      <c r="K26" s="4"/>
      <c r="L26" s="4">
        <v>516750</v>
      </c>
      <c r="M26" s="4">
        <f t="shared" si="4"/>
        <v>1556250</v>
      </c>
      <c r="N26" s="4"/>
      <c r="O26" s="4">
        <v>2060840</v>
      </c>
      <c r="P26" s="4">
        <f>5431260-429056</f>
        <v>5002204</v>
      </c>
      <c r="Q26" s="4"/>
      <c r="R26" s="4">
        <f t="shared" si="2"/>
        <v>7063044</v>
      </c>
      <c r="S26" s="4"/>
      <c r="T26" s="4"/>
      <c r="U26" s="4"/>
      <c r="V26" s="4">
        <v>4419</v>
      </c>
      <c r="W26" s="4">
        <f>B26*W$2</f>
        <v>120960</v>
      </c>
      <c r="X26" s="4">
        <v>62400</v>
      </c>
      <c r="Y26" s="4"/>
      <c r="Z26" s="218">
        <f>M26+E26+W26+R26+X26+N26+Y26+G26+F26+U26+T26+S26+'[3]6.sz. fizetendő hozzájárulás'!$V26</f>
        <v>9411183</v>
      </c>
      <c r="AA26" s="221" t="s">
        <v>243</v>
      </c>
    </row>
    <row r="27" spans="1:27" ht="15">
      <c r="A27" s="216" t="s">
        <v>244</v>
      </c>
      <c r="B27" s="220">
        <v>795</v>
      </c>
      <c r="C27" s="4">
        <f t="shared" si="0"/>
        <v>79500</v>
      </c>
      <c r="D27" s="4"/>
      <c r="E27" s="4">
        <f t="shared" si="1"/>
        <v>79500</v>
      </c>
      <c r="F27" s="4"/>
      <c r="G27" s="4">
        <f t="shared" si="7"/>
        <v>385575</v>
      </c>
      <c r="H27" s="4">
        <f t="shared" si="6"/>
        <v>119250</v>
      </c>
      <c r="I27" s="4"/>
      <c r="J27" s="4"/>
      <c r="K27" s="4"/>
      <c r="L27" s="4">
        <v>384480</v>
      </c>
      <c r="M27" s="4">
        <f t="shared" si="4"/>
        <v>503730</v>
      </c>
      <c r="N27" s="4"/>
      <c r="O27" s="4"/>
      <c r="P27" s="4"/>
      <c r="Q27" s="4"/>
      <c r="R27" s="4">
        <f t="shared" si="2"/>
        <v>0</v>
      </c>
      <c r="S27" s="4"/>
      <c r="T27" s="4"/>
      <c r="U27" s="4"/>
      <c r="V27" s="4">
        <v>5990</v>
      </c>
      <c r="W27" s="4">
        <v>0</v>
      </c>
      <c r="X27" s="4"/>
      <c r="Y27" s="4"/>
      <c r="Z27" s="218">
        <f>M27+E27+W27+R27+X27+N27+Y27+G27+F27+U27+T27+S27+'[3]6.sz. fizetendő hozzájárulás'!$V27</f>
        <v>974795</v>
      </c>
      <c r="AA27" s="221" t="s">
        <v>244</v>
      </c>
    </row>
    <row r="28" spans="1:27" ht="15">
      <c r="A28" s="216" t="s">
        <v>245</v>
      </c>
      <c r="B28" s="217">
        <v>876</v>
      </c>
      <c r="C28" s="4">
        <f t="shared" si="0"/>
        <v>87600</v>
      </c>
      <c r="D28" s="4"/>
      <c r="E28" s="4">
        <f t="shared" si="1"/>
        <v>87600</v>
      </c>
      <c r="F28" s="4"/>
      <c r="G28" s="4">
        <f t="shared" si="7"/>
        <v>424860</v>
      </c>
      <c r="H28" s="4">
        <f t="shared" si="6"/>
        <v>131400</v>
      </c>
      <c r="I28" s="4"/>
      <c r="J28" s="4"/>
      <c r="K28" s="4"/>
      <c r="L28" s="4"/>
      <c r="M28" s="4">
        <f t="shared" si="4"/>
        <v>131400</v>
      </c>
      <c r="N28" s="4"/>
      <c r="O28" s="4"/>
      <c r="P28" s="4"/>
      <c r="Q28" s="4"/>
      <c r="R28" s="4">
        <f t="shared" si="2"/>
        <v>0</v>
      </c>
      <c r="S28" s="4"/>
      <c r="T28" s="4"/>
      <c r="U28" s="4"/>
      <c r="V28" s="4">
        <v>10647</v>
      </c>
      <c r="W28" s="4">
        <f>B28*W$2</f>
        <v>140160</v>
      </c>
      <c r="X28" s="4"/>
      <c r="Y28" s="4"/>
      <c r="Z28" s="218">
        <f>M28+E28+W28+R28+X28+N28+Y28+G28+F28+U28+T28+S28+'[3]6.sz. fizetendő hozzájárulás'!$V28</f>
        <v>794667</v>
      </c>
      <c r="AA28" s="221" t="s">
        <v>245</v>
      </c>
    </row>
    <row r="29" spans="1:27" ht="15">
      <c r="A29" s="216" t="s">
        <v>246</v>
      </c>
      <c r="B29" s="220">
        <v>520</v>
      </c>
      <c r="C29" s="4">
        <f t="shared" si="0"/>
        <v>52000</v>
      </c>
      <c r="D29" s="4"/>
      <c r="E29" s="4">
        <f t="shared" si="1"/>
        <v>52000</v>
      </c>
      <c r="F29" s="4"/>
      <c r="G29" s="4">
        <f t="shared" si="7"/>
        <v>252200</v>
      </c>
      <c r="H29" s="4">
        <f t="shared" si="6"/>
        <v>78000</v>
      </c>
      <c r="I29" s="4">
        <f>B29*$I$2</f>
        <v>637000</v>
      </c>
      <c r="J29" s="4"/>
      <c r="K29" s="4"/>
      <c r="L29" s="4"/>
      <c r="M29" s="4">
        <f t="shared" si="4"/>
        <v>715000</v>
      </c>
      <c r="N29" s="4"/>
      <c r="O29" s="4">
        <v>51292</v>
      </c>
      <c r="P29" s="4">
        <f>5478100-3314776</f>
        <v>2163324</v>
      </c>
      <c r="Q29" s="4"/>
      <c r="R29" s="4">
        <f t="shared" si="2"/>
        <v>2214616</v>
      </c>
      <c r="S29" s="4"/>
      <c r="T29" s="4"/>
      <c r="U29" s="4"/>
      <c r="V29" s="4"/>
      <c r="W29" s="4">
        <f>B29*W$2</f>
        <v>83200</v>
      </c>
      <c r="X29" s="4"/>
      <c r="Y29" s="4"/>
      <c r="Z29" s="218">
        <f>M29+E29+W29+R29+X29+N29+Y29+G29+F29+U29+T29+S29+'[3]6.sz. fizetendő hozzájárulás'!$V29</f>
        <v>3317016</v>
      </c>
      <c r="AA29" s="221" t="s">
        <v>246</v>
      </c>
    </row>
    <row r="30" spans="1:27" ht="15">
      <c r="A30" s="216" t="s">
        <v>247</v>
      </c>
      <c r="B30" s="217">
        <v>549</v>
      </c>
      <c r="C30" s="4">
        <f t="shared" si="0"/>
        <v>54900</v>
      </c>
      <c r="D30" s="4">
        <v>55500</v>
      </c>
      <c r="E30" s="4">
        <f t="shared" si="1"/>
        <v>110400</v>
      </c>
      <c r="F30" s="4">
        <v>174825</v>
      </c>
      <c r="G30" s="4">
        <f t="shared" si="7"/>
        <v>266265</v>
      </c>
      <c r="H30" s="4"/>
      <c r="I30" s="4"/>
      <c r="J30" s="4"/>
      <c r="K30" s="4"/>
      <c r="L30" s="4"/>
      <c r="M30" s="4">
        <f t="shared" si="4"/>
        <v>0</v>
      </c>
      <c r="N30" s="4"/>
      <c r="O30" s="4"/>
      <c r="P30" s="4"/>
      <c r="Q30" s="4"/>
      <c r="R30" s="4">
        <f t="shared" si="2"/>
        <v>0</v>
      </c>
      <c r="S30" s="4"/>
      <c r="T30" s="4"/>
      <c r="U30" s="4"/>
      <c r="V30" s="4"/>
      <c r="W30" s="4">
        <v>0</v>
      </c>
      <c r="X30" s="4"/>
      <c r="Y30" s="4"/>
      <c r="Z30" s="218">
        <f>M30+E30+W30+R30+X30+N30+Y30+G30+F30+U30+T30+S30+'[3]6.sz. fizetendő hozzájárulás'!$V30</f>
        <v>551490</v>
      </c>
      <c r="AA30" s="221" t="s">
        <v>247</v>
      </c>
    </row>
    <row r="31" spans="1:27" ht="15">
      <c r="A31" s="216" t="s">
        <v>248</v>
      </c>
      <c r="B31" s="220">
        <v>740</v>
      </c>
      <c r="C31" s="4">
        <f t="shared" si="0"/>
        <v>74000</v>
      </c>
      <c r="D31" s="4">
        <v>75000</v>
      </c>
      <c r="E31" s="4">
        <f t="shared" si="1"/>
        <v>149000</v>
      </c>
      <c r="F31" s="4">
        <v>118125</v>
      </c>
      <c r="G31" s="4">
        <f t="shared" si="7"/>
        <v>358900</v>
      </c>
      <c r="H31" s="4">
        <f aca="true" t="shared" si="8" ref="H31:H43">B31*H$2</f>
        <v>111000</v>
      </c>
      <c r="I31" s="4">
        <f>B31*$I$2</f>
        <v>906500</v>
      </c>
      <c r="J31" s="4"/>
      <c r="K31" s="4"/>
      <c r="L31" s="4">
        <v>743750</v>
      </c>
      <c r="M31" s="4">
        <f t="shared" si="4"/>
        <v>1761250</v>
      </c>
      <c r="N31" s="4">
        <v>60000</v>
      </c>
      <c r="O31" s="4"/>
      <c r="P31" s="4"/>
      <c r="Q31" s="4"/>
      <c r="R31" s="4">
        <f t="shared" si="2"/>
        <v>0</v>
      </c>
      <c r="S31" s="4"/>
      <c r="T31" s="4"/>
      <c r="U31" s="4"/>
      <c r="V31" s="4">
        <v>10302</v>
      </c>
      <c r="W31" s="4">
        <f aca="true" t="shared" si="9" ref="W31:W37">B31*W$2</f>
        <v>118400</v>
      </c>
      <c r="X31" s="4">
        <v>120000</v>
      </c>
      <c r="Y31" s="4"/>
      <c r="Z31" s="218">
        <f>M31+E31+W31+R31+X31+N31+Y31+G31+F31+U31+T31+S31+'[3]6.sz. fizetendő hozzájárulás'!$V31</f>
        <v>2695977</v>
      </c>
      <c r="AA31" s="221" t="s">
        <v>248</v>
      </c>
    </row>
    <row r="32" spans="1:27" ht="15">
      <c r="A32" s="216" t="s">
        <v>249</v>
      </c>
      <c r="B32" s="217">
        <v>103</v>
      </c>
      <c r="C32" s="4">
        <f t="shared" si="0"/>
        <v>10300</v>
      </c>
      <c r="D32" s="4"/>
      <c r="E32" s="4">
        <f t="shared" si="1"/>
        <v>10300</v>
      </c>
      <c r="F32" s="4"/>
      <c r="G32" s="4">
        <f t="shared" si="7"/>
        <v>49955</v>
      </c>
      <c r="H32" s="4">
        <f t="shared" si="8"/>
        <v>15450</v>
      </c>
      <c r="I32" s="4">
        <f>B32*$I$2</f>
        <v>126175</v>
      </c>
      <c r="J32" s="4"/>
      <c r="K32" s="4"/>
      <c r="L32" s="4"/>
      <c r="M32" s="4">
        <f t="shared" si="4"/>
        <v>141625</v>
      </c>
      <c r="N32" s="4">
        <f>42950-42950</f>
        <v>0</v>
      </c>
      <c r="O32" s="4"/>
      <c r="P32" s="4"/>
      <c r="Q32" s="4"/>
      <c r="R32" s="4">
        <f t="shared" si="2"/>
        <v>0</v>
      </c>
      <c r="S32" s="4"/>
      <c r="T32" s="4"/>
      <c r="U32" s="4"/>
      <c r="V32" s="4">
        <v>337</v>
      </c>
      <c r="W32" s="4">
        <f t="shared" si="9"/>
        <v>16480</v>
      </c>
      <c r="X32" s="4"/>
      <c r="Y32" s="4"/>
      <c r="Z32" s="218">
        <f>M32+E32+W32+R32+X32+N32+Y32+G32+F32+U32+T32+S32+'[3]6.sz. fizetendő hozzájárulás'!$V32</f>
        <v>218697</v>
      </c>
      <c r="AA32" s="221" t="s">
        <v>249</v>
      </c>
    </row>
    <row r="33" spans="1:27" ht="15">
      <c r="A33" s="216" t="s">
        <v>250</v>
      </c>
      <c r="B33" s="220">
        <v>821</v>
      </c>
      <c r="C33" s="4">
        <f t="shared" si="0"/>
        <v>82100</v>
      </c>
      <c r="D33" s="4">
        <v>126300</v>
      </c>
      <c r="E33" s="4">
        <f t="shared" si="1"/>
        <v>208400</v>
      </c>
      <c r="F33" s="4">
        <v>376745</v>
      </c>
      <c r="G33" s="4">
        <f t="shared" si="7"/>
        <v>398185</v>
      </c>
      <c r="H33" s="4">
        <f t="shared" si="8"/>
        <v>123150</v>
      </c>
      <c r="I33" s="4"/>
      <c r="J33" s="4"/>
      <c r="K33" s="4"/>
      <c r="L33" s="4">
        <v>157875</v>
      </c>
      <c r="M33" s="4">
        <f t="shared" si="4"/>
        <v>281025</v>
      </c>
      <c r="N33" s="4">
        <v>172780</v>
      </c>
      <c r="O33" s="4"/>
      <c r="P33" s="4"/>
      <c r="Q33" s="4"/>
      <c r="R33" s="4">
        <f t="shared" si="2"/>
        <v>0</v>
      </c>
      <c r="S33" s="4"/>
      <c r="T33" s="4"/>
      <c r="U33" s="4"/>
      <c r="V33" s="4"/>
      <c r="W33" s="4">
        <f t="shared" si="9"/>
        <v>131360</v>
      </c>
      <c r="X33" s="4">
        <v>197860</v>
      </c>
      <c r="Y33" s="4"/>
      <c r="Z33" s="218">
        <f>M33+E33+W33+R33+X33+N33+Y33+G33+F33+U33+T33+S33+'[3]6.sz. fizetendő hozzájárulás'!$V33</f>
        <v>1766355</v>
      </c>
      <c r="AA33" s="221" t="s">
        <v>250</v>
      </c>
    </row>
    <row r="34" spans="1:27" ht="15">
      <c r="A34" s="216" t="s">
        <v>251</v>
      </c>
      <c r="B34" s="217">
        <v>562</v>
      </c>
      <c r="C34" s="4">
        <f t="shared" si="0"/>
        <v>56200</v>
      </c>
      <c r="D34" s="4"/>
      <c r="E34" s="4">
        <f t="shared" si="1"/>
        <v>56200</v>
      </c>
      <c r="F34" s="4"/>
      <c r="G34" s="4">
        <f t="shared" si="7"/>
        <v>272570</v>
      </c>
      <c r="H34" s="4">
        <f t="shared" si="8"/>
        <v>84300</v>
      </c>
      <c r="I34" s="4">
        <f>B34*$I$2</f>
        <v>688450</v>
      </c>
      <c r="J34" s="4"/>
      <c r="K34" s="4"/>
      <c r="L34" s="4"/>
      <c r="M34" s="4">
        <f t="shared" si="4"/>
        <v>772750</v>
      </c>
      <c r="N34" s="4"/>
      <c r="O34" s="4"/>
      <c r="P34" s="4">
        <v>1765520</v>
      </c>
      <c r="Q34" s="4"/>
      <c r="R34" s="4">
        <f t="shared" si="2"/>
        <v>1765520</v>
      </c>
      <c r="S34" s="4"/>
      <c r="T34" s="4"/>
      <c r="U34" s="4"/>
      <c r="V34" s="4">
        <v>2920</v>
      </c>
      <c r="W34" s="4">
        <f t="shared" si="9"/>
        <v>89920</v>
      </c>
      <c r="X34" s="4"/>
      <c r="Y34" s="4"/>
      <c r="Z34" s="218">
        <f>M34+E34+W34+R34+X34+N34+Y34+G34+F34+U34+T34+S34+'[3]6.sz. fizetendő hozzájárulás'!$V34</f>
        <v>2959880</v>
      </c>
      <c r="AA34" s="221" t="s">
        <v>251</v>
      </c>
    </row>
    <row r="35" spans="1:27" ht="15">
      <c r="A35" s="216" t="s">
        <v>252</v>
      </c>
      <c r="B35" s="220">
        <v>225</v>
      </c>
      <c r="C35" s="4">
        <f t="shared" si="0"/>
        <v>22500</v>
      </c>
      <c r="D35" s="4"/>
      <c r="E35" s="4">
        <f t="shared" si="1"/>
        <v>22500</v>
      </c>
      <c r="F35" s="4"/>
      <c r="G35" s="4">
        <f t="shared" si="7"/>
        <v>109125</v>
      </c>
      <c r="H35" s="4">
        <f t="shared" si="8"/>
        <v>33750</v>
      </c>
      <c r="I35" s="4"/>
      <c r="J35" s="4"/>
      <c r="K35" s="4"/>
      <c r="L35" s="4"/>
      <c r="M35" s="4">
        <f t="shared" si="4"/>
        <v>33750</v>
      </c>
      <c r="N35" s="4"/>
      <c r="O35" s="4"/>
      <c r="P35" s="4"/>
      <c r="Q35" s="4"/>
      <c r="R35" s="4">
        <f t="shared" si="2"/>
        <v>0</v>
      </c>
      <c r="S35" s="4"/>
      <c r="T35" s="4"/>
      <c r="U35" s="4"/>
      <c r="V35" s="4">
        <v>773</v>
      </c>
      <c r="W35" s="4">
        <f t="shared" si="9"/>
        <v>36000</v>
      </c>
      <c r="X35" s="4"/>
      <c r="Y35" s="4"/>
      <c r="Z35" s="218">
        <f>M35+E35+W35+R35+X35+N35+Y35+G35+F35+U35+T35+S35+'[3]6.sz. fizetendő hozzájárulás'!$V35</f>
        <v>202148</v>
      </c>
      <c r="AA35" s="221" t="s">
        <v>252</v>
      </c>
    </row>
    <row r="36" spans="1:27" ht="15">
      <c r="A36" s="216" t="s">
        <v>253</v>
      </c>
      <c r="B36" s="217">
        <v>357</v>
      </c>
      <c r="C36" s="4">
        <f t="shared" si="0"/>
        <v>35700</v>
      </c>
      <c r="D36" s="4"/>
      <c r="E36" s="4">
        <f t="shared" si="1"/>
        <v>35700</v>
      </c>
      <c r="F36" s="4"/>
      <c r="G36" s="4">
        <f t="shared" si="7"/>
        <v>173145</v>
      </c>
      <c r="H36" s="4">
        <f t="shared" si="8"/>
        <v>53550</v>
      </c>
      <c r="I36" s="4"/>
      <c r="J36" s="4"/>
      <c r="K36" s="4"/>
      <c r="L36" s="4"/>
      <c r="M36" s="4">
        <f t="shared" si="4"/>
        <v>53550</v>
      </c>
      <c r="N36" s="4"/>
      <c r="O36" s="4"/>
      <c r="P36" s="4"/>
      <c r="Q36" s="4"/>
      <c r="R36" s="4">
        <f t="shared" si="2"/>
        <v>0</v>
      </c>
      <c r="S36" s="4"/>
      <c r="T36" s="4"/>
      <c r="U36" s="4"/>
      <c r="V36" s="4"/>
      <c r="W36" s="4">
        <f t="shared" si="9"/>
        <v>57120</v>
      </c>
      <c r="X36" s="4"/>
      <c r="Y36" s="4"/>
      <c r="Z36" s="218">
        <f>M36+E36+W36+R36+X36+N36+Y36+G36+F36+U36+T36+S36+'[3]6.sz. fizetendő hozzájárulás'!$V36</f>
        <v>319515</v>
      </c>
      <c r="AA36" s="221" t="s">
        <v>253</v>
      </c>
    </row>
    <row r="37" spans="1:27" ht="15">
      <c r="A37" s="216" t="s">
        <v>254</v>
      </c>
      <c r="B37" s="220">
        <v>279</v>
      </c>
      <c r="C37" s="4">
        <f t="shared" si="0"/>
        <v>27900</v>
      </c>
      <c r="D37" s="4">
        <v>13800</v>
      </c>
      <c r="E37" s="4">
        <f t="shared" si="1"/>
        <v>41700</v>
      </c>
      <c r="F37" s="4">
        <v>43470</v>
      </c>
      <c r="G37" s="4">
        <f t="shared" si="7"/>
        <v>135315</v>
      </c>
      <c r="H37" s="4">
        <f t="shared" si="8"/>
        <v>41850</v>
      </c>
      <c r="I37" s="4">
        <f>B37*$I$2</f>
        <v>341775</v>
      </c>
      <c r="J37" s="4"/>
      <c r="K37" s="4"/>
      <c r="L37" s="4">
        <v>182850</v>
      </c>
      <c r="M37" s="4">
        <f t="shared" si="4"/>
        <v>566475</v>
      </c>
      <c r="N37" s="4"/>
      <c r="O37" s="4"/>
      <c r="P37" s="4"/>
      <c r="Q37" s="4"/>
      <c r="R37" s="4">
        <f t="shared" si="2"/>
        <v>0</v>
      </c>
      <c r="S37" s="4"/>
      <c r="T37" s="4"/>
      <c r="U37" s="4"/>
      <c r="V37" s="4">
        <v>2142</v>
      </c>
      <c r="W37" s="4">
        <f t="shared" si="9"/>
        <v>44640</v>
      </c>
      <c r="X37" s="4">
        <v>22080</v>
      </c>
      <c r="Y37" s="4"/>
      <c r="Z37" s="218">
        <f>M37+E37+W37+R37+X37+N37+Y37+G37+F37+U37+T37+S37+'[3]6.sz. fizetendő hozzájárulás'!$V37</f>
        <v>855822</v>
      </c>
      <c r="AA37" s="221" t="s">
        <v>254</v>
      </c>
    </row>
    <row r="38" spans="1:27" ht="15">
      <c r="A38" s="216" t="s">
        <v>255</v>
      </c>
      <c r="B38" s="217">
        <v>711</v>
      </c>
      <c r="C38" s="4">
        <f t="shared" si="0"/>
        <v>71100</v>
      </c>
      <c r="D38" s="4">
        <v>1353764</v>
      </c>
      <c r="E38" s="4">
        <f t="shared" si="1"/>
        <v>1424864</v>
      </c>
      <c r="F38" s="4">
        <v>226800</v>
      </c>
      <c r="G38" s="4">
        <f t="shared" si="7"/>
        <v>344835</v>
      </c>
      <c r="H38" s="4">
        <f t="shared" si="8"/>
        <v>106650</v>
      </c>
      <c r="I38" s="4"/>
      <c r="J38" s="4"/>
      <c r="K38" s="4"/>
      <c r="L38" s="4">
        <v>90000</v>
      </c>
      <c r="M38" s="4">
        <f t="shared" si="4"/>
        <v>196650</v>
      </c>
      <c r="N38" s="4">
        <v>242100</v>
      </c>
      <c r="O38" s="4"/>
      <c r="P38" s="4"/>
      <c r="Q38" s="4"/>
      <c r="R38" s="4">
        <f t="shared" si="2"/>
        <v>0</v>
      </c>
      <c r="S38" s="4"/>
      <c r="T38" s="4"/>
      <c r="U38" s="4"/>
      <c r="V38" s="4">
        <v>7075</v>
      </c>
      <c r="W38" s="4">
        <v>0</v>
      </c>
      <c r="X38" s="4"/>
      <c r="Y38" s="4"/>
      <c r="Z38" s="218">
        <f>M38+E38+W38+R38+X38+N38+Y38+G38+F38+U38+T38+S38+'[3]6.sz. fizetendő hozzájárulás'!$V38</f>
        <v>2442324</v>
      </c>
      <c r="AA38" s="221" t="s">
        <v>255</v>
      </c>
    </row>
    <row r="39" spans="1:27" ht="15">
      <c r="A39" s="216" t="s">
        <v>256</v>
      </c>
      <c r="B39" s="220">
        <v>401</v>
      </c>
      <c r="C39" s="4">
        <f t="shared" si="0"/>
        <v>40100</v>
      </c>
      <c r="D39" s="4"/>
      <c r="E39" s="4">
        <f t="shared" si="1"/>
        <v>40100</v>
      </c>
      <c r="F39" s="4"/>
      <c r="G39" s="4">
        <f t="shared" si="7"/>
        <v>194485</v>
      </c>
      <c r="H39" s="4">
        <f t="shared" si="8"/>
        <v>60150</v>
      </c>
      <c r="I39" s="4"/>
      <c r="J39" s="4"/>
      <c r="K39" s="4"/>
      <c r="L39" s="4"/>
      <c r="M39" s="4">
        <f t="shared" si="4"/>
        <v>60150</v>
      </c>
      <c r="N39" s="4"/>
      <c r="O39" s="4"/>
      <c r="P39" s="4"/>
      <c r="Q39" s="4"/>
      <c r="R39" s="4">
        <f t="shared" si="2"/>
        <v>0</v>
      </c>
      <c r="S39" s="4"/>
      <c r="T39" s="4"/>
      <c r="U39" s="4"/>
      <c r="V39" s="4">
        <v>968</v>
      </c>
      <c r="W39" s="4">
        <f>B39*W$2</f>
        <v>64160</v>
      </c>
      <c r="X39" s="4"/>
      <c r="Y39" s="4"/>
      <c r="Z39" s="218">
        <f>M39+E39+W39+R39+X39+N39+Y39+G39+F39+U39+T39+S39+'[3]6.sz. fizetendő hozzájárulás'!$V39</f>
        <v>359863</v>
      </c>
      <c r="AA39" s="221" t="s">
        <v>256</v>
      </c>
    </row>
    <row r="40" spans="1:27" ht="15">
      <c r="A40" s="216" t="s">
        <v>257</v>
      </c>
      <c r="B40" s="217">
        <v>138</v>
      </c>
      <c r="C40" s="4">
        <f t="shared" si="0"/>
        <v>13800</v>
      </c>
      <c r="D40" s="4"/>
      <c r="E40" s="4">
        <f t="shared" si="1"/>
        <v>13800</v>
      </c>
      <c r="F40" s="4"/>
      <c r="G40" s="4"/>
      <c r="H40" s="4">
        <f t="shared" si="8"/>
        <v>20700</v>
      </c>
      <c r="I40" s="4"/>
      <c r="J40" s="4"/>
      <c r="K40" s="4"/>
      <c r="L40" s="4"/>
      <c r="M40" s="4">
        <f t="shared" si="4"/>
        <v>20700</v>
      </c>
      <c r="N40" s="4"/>
      <c r="O40" s="4"/>
      <c r="P40" s="4"/>
      <c r="Q40" s="4"/>
      <c r="R40" s="4">
        <f t="shared" si="2"/>
        <v>0</v>
      </c>
      <c r="S40" s="4"/>
      <c r="T40" s="4"/>
      <c r="U40" s="4"/>
      <c r="V40" s="4">
        <v>460</v>
      </c>
      <c r="W40" s="4">
        <f>B40*W$2</f>
        <v>22080</v>
      </c>
      <c r="X40" s="4"/>
      <c r="Y40" s="4"/>
      <c r="Z40" s="218">
        <f>M40+E40+W40+R40+X40+N40+Y40+G40+F40+U40+T40+S40+'[3]6.sz. fizetendő hozzájárulás'!$V40</f>
        <v>57040</v>
      </c>
      <c r="AA40" s="221" t="s">
        <v>257</v>
      </c>
    </row>
    <row r="41" spans="1:27" ht="15">
      <c r="A41" s="216" t="s">
        <v>258</v>
      </c>
      <c r="B41" s="220">
        <v>162</v>
      </c>
      <c r="C41" s="4">
        <f t="shared" si="0"/>
        <v>16200</v>
      </c>
      <c r="D41" s="4"/>
      <c r="E41" s="4">
        <f t="shared" si="1"/>
        <v>16200</v>
      </c>
      <c r="F41" s="4"/>
      <c r="G41" s="4">
        <f>B41*$G$2</f>
        <v>78570</v>
      </c>
      <c r="H41" s="4">
        <f t="shared" si="8"/>
        <v>24300</v>
      </c>
      <c r="I41" s="4"/>
      <c r="J41" s="4"/>
      <c r="K41" s="4"/>
      <c r="L41" s="4"/>
      <c r="M41" s="4">
        <f t="shared" si="4"/>
        <v>24300</v>
      </c>
      <c r="N41" s="4"/>
      <c r="O41" s="4"/>
      <c r="P41" s="4"/>
      <c r="Q41" s="4"/>
      <c r="R41" s="4">
        <f t="shared" si="2"/>
        <v>0</v>
      </c>
      <c r="S41" s="4"/>
      <c r="T41" s="4"/>
      <c r="U41" s="4"/>
      <c r="V41" s="4">
        <v>2202</v>
      </c>
      <c r="W41" s="4">
        <f>B41*W$2</f>
        <v>25920</v>
      </c>
      <c r="X41" s="4"/>
      <c r="Y41" s="4"/>
      <c r="Z41" s="218">
        <f>M41+E41+W41+R41+X41+N41+Y41+G41+F41+U41+T41+S41+'[3]6.sz. fizetendő hozzájárulás'!$V41</f>
        <v>147192</v>
      </c>
      <c r="AA41" s="221" t="s">
        <v>258</v>
      </c>
    </row>
    <row r="42" spans="1:27" ht="15">
      <c r="A42" s="216" t="s">
        <v>259</v>
      </c>
      <c r="B42" s="217">
        <v>749</v>
      </c>
      <c r="C42" s="4">
        <f t="shared" si="0"/>
        <v>74900</v>
      </c>
      <c r="D42" s="4">
        <v>38050</v>
      </c>
      <c r="E42" s="4">
        <f t="shared" si="1"/>
        <v>112950</v>
      </c>
      <c r="F42" s="4">
        <v>119857</v>
      </c>
      <c r="G42" s="4">
        <f>B42*$G$2</f>
        <v>363265</v>
      </c>
      <c r="H42" s="4">
        <f t="shared" si="8"/>
        <v>112350</v>
      </c>
      <c r="I42" s="4"/>
      <c r="J42" s="4"/>
      <c r="K42" s="4"/>
      <c r="L42" s="4">
        <v>47562</v>
      </c>
      <c r="M42" s="4">
        <f t="shared" si="4"/>
        <v>159912</v>
      </c>
      <c r="N42" s="4"/>
      <c r="O42" s="4"/>
      <c r="P42" s="4"/>
      <c r="Q42" s="4"/>
      <c r="R42" s="4">
        <f t="shared" si="2"/>
        <v>0</v>
      </c>
      <c r="S42" s="4"/>
      <c r="T42" s="4"/>
      <c r="U42" s="4"/>
      <c r="V42" s="4">
        <v>7277</v>
      </c>
      <c r="W42" s="4">
        <f>B42*W$2</f>
        <v>119840</v>
      </c>
      <c r="X42" s="4">
        <v>60881</v>
      </c>
      <c r="Y42" s="4"/>
      <c r="Z42" s="218">
        <f>M42+E42+W42+R42+X42+N42+Y42+G42+F42+U42+T42+S42+'[3]6.sz. fizetendő hozzájárulás'!$V42</f>
        <v>943982</v>
      </c>
      <c r="AA42" s="221" t="s">
        <v>259</v>
      </c>
    </row>
    <row r="43" spans="1:27" ht="15">
      <c r="A43" s="216" t="s">
        <v>260</v>
      </c>
      <c r="B43" s="223">
        <v>511</v>
      </c>
      <c r="C43" s="4">
        <f t="shared" si="0"/>
        <v>51100</v>
      </c>
      <c r="D43" s="4"/>
      <c r="E43" s="4">
        <f t="shared" si="1"/>
        <v>51100</v>
      </c>
      <c r="F43" s="4"/>
      <c r="G43" s="4"/>
      <c r="H43" s="4">
        <f t="shared" si="8"/>
        <v>76650</v>
      </c>
      <c r="I43" s="4"/>
      <c r="J43" s="4"/>
      <c r="K43" s="4"/>
      <c r="L43" s="4"/>
      <c r="M43" s="4">
        <f>H43+I43+K43+L43+J43</f>
        <v>76650</v>
      </c>
      <c r="N43" s="4"/>
      <c r="O43" s="4"/>
      <c r="P43" s="4"/>
      <c r="Q43" s="4"/>
      <c r="R43" s="4">
        <f t="shared" si="2"/>
        <v>0</v>
      </c>
      <c r="S43" s="4"/>
      <c r="T43" s="4"/>
      <c r="U43" s="4"/>
      <c r="V43" s="4">
        <v>3162</v>
      </c>
      <c r="W43" s="4">
        <f>B43*W$2</f>
        <v>81760</v>
      </c>
      <c r="X43" s="4"/>
      <c r="Y43" s="4"/>
      <c r="Z43" s="218">
        <f>M43+E43+W43+R43+X43+N43+Y43+G43+F43+U43+T43+S43+'[3]6.sz. fizetendő hozzájárulás'!$V43</f>
        <v>212672</v>
      </c>
      <c r="AA43" s="221" t="s">
        <v>260</v>
      </c>
    </row>
    <row r="44" spans="1:27" ht="15">
      <c r="A44" s="224" t="s">
        <v>261</v>
      </c>
      <c r="B44" s="222">
        <v>2549</v>
      </c>
      <c r="C44" s="146">
        <f t="shared" si="0"/>
        <v>254900</v>
      </c>
      <c r="D44" s="146">
        <v>255500</v>
      </c>
      <c r="E44" s="146">
        <f>C44+D44</f>
        <v>510400</v>
      </c>
      <c r="F44" s="146"/>
      <c r="G44" s="146"/>
      <c r="H44" s="146"/>
      <c r="I44" s="146"/>
      <c r="J44" s="146"/>
      <c r="K44" s="146"/>
      <c r="L44" s="146"/>
      <c r="M44" s="146">
        <f>H44+I44+K44+L44+J44</f>
        <v>0</v>
      </c>
      <c r="N44" s="146"/>
      <c r="O44" s="146"/>
      <c r="P44" s="146"/>
      <c r="Q44" s="146"/>
      <c r="R44" s="146">
        <f>SUM(O44:Q44)</f>
        <v>0</v>
      </c>
      <c r="S44" s="146"/>
      <c r="T44" s="146"/>
      <c r="U44" s="146"/>
      <c r="V44" s="146"/>
      <c r="W44" s="146"/>
      <c r="X44" s="146"/>
      <c r="Y44" s="146"/>
      <c r="Z44" s="225">
        <f>M44+E44+W44+R44+X44+N44+Y44+G44+F44+U44+T44+S44+'[3]6.sz. fizetendő hozzájárulás'!$V44</f>
        <v>510400</v>
      </c>
      <c r="AA44" s="226" t="s">
        <v>261</v>
      </c>
    </row>
    <row r="45" spans="1:27" ht="15">
      <c r="A45" s="224" t="s">
        <v>262</v>
      </c>
      <c r="B45" s="223">
        <v>2867</v>
      </c>
      <c r="C45" s="146">
        <f t="shared" si="0"/>
        <v>286700</v>
      </c>
      <c r="D45" s="146">
        <v>300900</v>
      </c>
      <c r="E45" s="146">
        <f>C45+D45</f>
        <v>587600</v>
      </c>
      <c r="F45" s="146"/>
      <c r="G45" s="146"/>
      <c r="H45" s="146"/>
      <c r="I45" s="146"/>
      <c r="J45" s="146"/>
      <c r="K45" s="146"/>
      <c r="L45" s="146"/>
      <c r="M45" s="146">
        <f>H45+I45+K45+L45+J45</f>
        <v>0</v>
      </c>
      <c r="N45" s="146"/>
      <c r="O45" s="146"/>
      <c r="P45" s="146"/>
      <c r="Q45" s="146"/>
      <c r="R45" s="146">
        <f>SUM(O45:Q45)</f>
        <v>0</v>
      </c>
      <c r="S45" s="146"/>
      <c r="T45" s="146"/>
      <c r="U45" s="146"/>
      <c r="V45" s="146"/>
      <c r="W45" s="146"/>
      <c r="X45" s="146"/>
      <c r="Y45" s="146"/>
      <c r="Z45" s="225">
        <f>M45+E45+W45+R45+X45+N45+Y45+G45+F45+U45+T45+S45+'[3]6.sz. fizetendő hozzájárulás'!$V45</f>
        <v>587600</v>
      </c>
      <c r="AA45" s="226" t="s">
        <v>262</v>
      </c>
    </row>
    <row r="46" spans="1:27" ht="15.75" thickBot="1">
      <c r="A46" s="227"/>
      <c r="B46" s="228">
        <f aca="true" t="shared" si="10" ref="B46:R46">SUBTOTAL(109,B6:B45)</f>
        <v>41035</v>
      </c>
      <c r="C46" s="228">
        <f t="shared" si="10"/>
        <v>4103500</v>
      </c>
      <c r="D46" s="228">
        <f t="shared" si="10"/>
        <v>2670014</v>
      </c>
      <c r="E46" s="228">
        <f t="shared" si="10"/>
        <v>6773514</v>
      </c>
      <c r="F46" s="228">
        <f t="shared" si="10"/>
        <v>2116093</v>
      </c>
      <c r="G46" s="228">
        <f t="shared" si="10"/>
        <v>15430275</v>
      </c>
      <c r="H46" s="228">
        <f t="shared" si="10"/>
        <v>5059637</v>
      </c>
      <c r="I46" s="228">
        <f t="shared" si="10"/>
        <v>18670225</v>
      </c>
      <c r="J46" s="228">
        <f t="shared" si="10"/>
        <v>1082997</v>
      </c>
      <c r="K46" s="228">
        <f t="shared" si="10"/>
        <v>245661000</v>
      </c>
      <c r="L46" s="228">
        <f t="shared" si="10"/>
        <v>20422464</v>
      </c>
      <c r="M46" s="228">
        <f t="shared" si="10"/>
        <v>290896323</v>
      </c>
      <c r="N46" s="228">
        <f t="shared" si="10"/>
        <v>697680</v>
      </c>
      <c r="O46" s="228">
        <f t="shared" si="10"/>
        <v>8408817</v>
      </c>
      <c r="P46" s="228">
        <f t="shared" si="10"/>
        <v>57619617</v>
      </c>
      <c r="Q46" s="228">
        <f t="shared" si="10"/>
        <v>255738550</v>
      </c>
      <c r="R46" s="228">
        <f t="shared" si="10"/>
        <v>321766984</v>
      </c>
      <c r="S46" s="228">
        <f>SUBTOTAL(109,'[3]6.sz. fizetendő hozzájárulás'!$S$6:$S$45)</f>
        <v>3800000</v>
      </c>
      <c r="T46" s="228">
        <f>SUBTOTAL(109,'[3]6.sz. fizetendő hozzájárulás'!$T$6:$T$45)</f>
        <v>120621743</v>
      </c>
      <c r="U46" s="228">
        <f>SUBTOTAL(109,U6:U45)</f>
        <v>30679950</v>
      </c>
      <c r="V46" s="228">
        <f>SUM('[3]6.sz. fizetendő hozzájárulás'!$V$6:$V$45)</f>
        <v>156039</v>
      </c>
      <c r="W46" s="228">
        <f>SUBTOTAL(109,W6:W45)</f>
        <v>4974080</v>
      </c>
      <c r="X46" s="228">
        <f>SUBTOTAL(109,X6:X45)</f>
        <v>642581</v>
      </c>
      <c r="Y46" s="228">
        <f>SUBTOTAL(109,Y6:Y45)</f>
        <v>1306293</v>
      </c>
      <c r="Z46" s="229">
        <f>SUBTOTAL(109,Z6:Z45)</f>
        <v>799861555</v>
      </c>
      <c r="AA46" s="230"/>
    </row>
    <row r="48" spans="21:26" ht="15">
      <c r="U48" s="1"/>
      <c r="Z48" s="1"/>
    </row>
    <row r="49" ht="15">
      <c r="Z49" s="1"/>
    </row>
  </sheetData>
  <sheetProtection/>
  <mergeCells count="4">
    <mergeCell ref="A3:Z3"/>
    <mergeCell ref="A4:B4"/>
    <mergeCell ref="C4:E4"/>
    <mergeCell ref="A5:B5"/>
  </mergeCells>
  <printOptions/>
  <pageMargins left="0.7" right="0.7" top="0.75" bottom="0.75" header="0.3" footer="0.3"/>
  <pageSetup horizontalDpi="600" verticalDpi="600" orientation="landscape" paperSize="9" scale="64" r:id="rId1"/>
  <headerFooter>
    <oddHeader>&amp;C.../2020 (II.19.) számú határozat
a Marcali Kistérségi Többcélú Társulás
2019. évi költségvetésének módosításáról</oddHead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5"/>
  <sheetViews>
    <sheetView view="pageBreakPreview" zoomScale="124" zoomScaleSheetLayoutView="124" workbookViewId="0" topLeftCell="A1">
      <selection activeCell="A1" sqref="A1"/>
    </sheetView>
  </sheetViews>
  <sheetFormatPr defaultColWidth="9.140625" defaultRowHeight="15"/>
  <cols>
    <col min="1" max="1" width="62.140625" style="0" customWidth="1"/>
    <col min="6" max="6" width="9.57421875" style="0" bestFit="1" customWidth="1"/>
  </cols>
  <sheetData>
    <row r="1" spans="1:14" ht="15.75" thickBot="1">
      <c r="A1" s="2" t="s">
        <v>127</v>
      </c>
      <c r="N1" s="15" t="s">
        <v>16</v>
      </c>
    </row>
    <row r="2" spans="1:14" ht="15">
      <c r="A2" s="54" t="s">
        <v>45</v>
      </c>
      <c r="B2" s="55" t="s">
        <v>24</v>
      </c>
      <c r="C2" s="55" t="s">
        <v>25</v>
      </c>
      <c r="D2" s="55" t="s">
        <v>26</v>
      </c>
      <c r="E2" s="55" t="s">
        <v>27</v>
      </c>
      <c r="F2" s="55" t="s">
        <v>28</v>
      </c>
      <c r="G2" s="55" t="s">
        <v>29</v>
      </c>
      <c r="H2" s="55" t="s">
        <v>30</v>
      </c>
      <c r="I2" s="55" t="s">
        <v>31</v>
      </c>
      <c r="J2" s="55" t="s">
        <v>32</v>
      </c>
      <c r="K2" s="55" t="s">
        <v>33</v>
      </c>
      <c r="L2" s="55" t="s">
        <v>34</v>
      </c>
      <c r="M2" s="55" t="s">
        <v>35</v>
      </c>
      <c r="N2" s="56" t="s">
        <v>0</v>
      </c>
    </row>
    <row r="3" spans="1:14" ht="15">
      <c r="A3" s="11" t="s">
        <v>1</v>
      </c>
      <c r="B3" s="8">
        <f>B4</f>
        <v>20726</v>
      </c>
      <c r="C3" s="8">
        <f aca="true" t="shared" si="0" ref="C3:M3">C4</f>
        <v>12245</v>
      </c>
      <c r="D3" s="8">
        <f t="shared" si="0"/>
        <v>14726</v>
      </c>
      <c r="E3" s="8">
        <f t="shared" si="0"/>
        <v>14726</v>
      </c>
      <c r="F3" s="8">
        <f t="shared" si="0"/>
        <v>14726</v>
      </c>
      <c r="G3" s="8">
        <f t="shared" si="0"/>
        <v>12726</v>
      </c>
      <c r="H3" s="8">
        <f t="shared" si="0"/>
        <v>10826</v>
      </c>
      <c r="I3" s="8">
        <f t="shared" si="0"/>
        <v>10826</v>
      </c>
      <c r="J3" s="8">
        <f t="shared" si="0"/>
        <v>12726</v>
      </c>
      <c r="K3" s="8">
        <f t="shared" si="0"/>
        <v>12726</v>
      </c>
      <c r="L3" s="8">
        <f t="shared" si="0"/>
        <v>12726</v>
      </c>
      <c r="M3" s="8">
        <f t="shared" si="0"/>
        <v>10523</v>
      </c>
      <c r="N3" s="20">
        <f aca="true" t="shared" si="1" ref="N3:N13">SUM(B3:M3)</f>
        <v>160228</v>
      </c>
    </row>
    <row r="4" spans="1:18" ht="15">
      <c r="A4" s="3" t="s">
        <v>2</v>
      </c>
      <c r="B4" s="4">
        <v>20726</v>
      </c>
      <c r="C4" s="4">
        <v>12245</v>
      </c>
      <c r="D4" s="4">
        <v>14726</v>
      </c>
      <c r="E4" s="4">
        <v>14726</v>
      </c>
      <c r="F4" s="4">
        <v>14726</v>
      </c>
      <c r="G4" s="4">
        <v>12726</v>
      </c>
      <c r="H4" s="4">
        <v>10826</v>
      </c>
      <c r="I4" s="4">
        <v>10826</v>
      </c>
      <c r="J4" s="4">
        <v>12726</v>
      </c>
      <c r="K4" s="4">
        <v>12726</v>
      </c>
      <c r="L4" s="4">
        <v>12726</v>
      </c>
      <c r="M4" s="4">
        <f>11526-1003</f>
        <v>10523</v>
      </c>
      <c r="N4" s="5">
        <f t="shared" si="1"/>
        <v>160228</v>
      </c>
      <c r="P4" s="107"/>
      <c r="Q4" s="1"/>
      <c r="R4" s="1"/>
    </row>
    <row r="5" spans="1:14" ht="15">
      <c r="A5" s="11" t="s">
        <v>94</v>
      </c>
      <c r="B5" s="8">
        <f>SUM(B6:B11)</f>
        <v>55840</v>
      </c>
      <c r="C5" s="8">
        <f aca="true" t="shared" si="2" ref="C5:M5">SUM(C6:C11)</f>
        <v>77048</v>
      </c>
      <c r="D5" s="8">
        <f t="shared" si="2"/>
        <v>96873</v>
      </c>
      <c r="E5" s="8">
        <f t="shared" si="2"/>
        <v>83792</v>
      </c>
      <c r="F5" s="8">
        <f t="shared" si="2"/>
        <v>84210</v>
      </c>
      <c r="G5" s="8">
        <f t="shared" si="2"/>
        <v>83125</v>
      </c>
      <c r="H5" s="8">
        <f t="shared" si="2"/>
        <v>91290</v>
      </c>
      <c r="I5" s="8">
        <f t="shared" si="2"/>
        <v>81041</v>
      </c>
      <c r="J5" s="8">
        <f t="shared" si="2"/>
        <v>81041</v>
      </c>
      <c r="K5" s="8">
        <f t="shared" si="2"/>
        <v>81041</v>
      </c>
      <c r="L5" s="8">
        <f t="shared" si="2"/>
        <v>81041</v>
      </c>
      <c r="M5" s="8">
        <f t="shared" si="2"/>
        <v>80512</v>
      </c>
      <c r="N5" s="20">
        <f t="shared" si="1"/>
        <v>976854</v>
      </c>
    </row>
    <row r="6" spans="1:18" ht="15">
      <c r="A6" s="3" t="s">
        <v>98</v>
      </c>
      <c r="B6" s="4">
        <f>3751</f>
        <v>3751</v>
      </c>
      <c r="C6" s="4">
        <f>3751</f>
        <v>3751</v>
      </c>
      <c r="D6" s="4">
        <f>3751+15438+6744-2357</f>
        <v>23576</v>
      </c>
      <c r="E6" s="4">
        <f>3751+6744</f>
        <v>10495</v>
      </c>
      <c r="F6" s="4">
        <f>3751+6744-582</f>
        <v>9913</v>
      </c>
      <c r="G6" s="4">
        <f>6744+2084</f>
        <v>8828</v>
      </c>
      <c r="H6" s="4">
        <v>8828</v>
      </c>
      <c r="I6" s="4">
        <v>6744</v>
      </c>
      <c r="J6" s="4">
        <v>6744</v>
      </c>
      <c r="K6" s="4">
        <v>6744</v>
      </c>
      <c r="L6" s="4">
        <v>6744</v>
      </c>
      <c r="M6" s="4">
        <v>6744</v>
      </c>
      <c r="N6" s="5">
        <f t="shared" si="1"/>
        <v>102862</v>
      </c>
      <c r="P6" s="107"/>
      <c r="Q6" s="1"/>
      <c r="R6" s="1"/>
    </row>
    <row r="7" spans="1:17" ht="15">
      <c r="A7" s="3" t="s">
        <v>99</v>
      </c>
      <c r="B7" s="4">
        <v>4786</v>
      </c>
      <c r="C7" s="4">
        <v>4786</v>
      </c>
      <c r="D7" s="4">
        <v>4786</v>
      </c>
      <c r="E7" s="4">
        <v>4786</v>
      </c>
      <c r="F7" s="4">
        <v>5786</v>
      </c>
      <c r="G7" s="4">
        <v>5786</v>
      </c>
      <c r="H7" s="4">
        <v>5786</v>
      </c>
      <c r="I7" s="4">
        <v>5786</v>
      </c>
      <c r="J7" s="4">
        <v>5786</v>
      </c>
      <c r="K7" s="4">
        <v>5786</v>
      </c>
      <c r="L7" s="4">
        <v>5786</v>
      </c>
      <c r="M7" s="4">
        <f>4791+463</f>
        <v>5254</v>
      </c>
      <c r="N7" s="5">
        <f t="shared" si="1"/>
        <v>64900</v>
      </c>
      <c r="P7" s="107"/>
      <c r="Q7" s="1"/>
    </row>
    <row r="8" spans="1:17" ht="15">
      <c r="A8" s="3" t="s">
        <v>100</v>
      </c>
      <c r="B8" s="4">
        <f>68511-21208</f>
        <v>47303</v>
      </c>
      <c r="C8" s="4">
        <v>68511</v>
      </c>
      <c r="D8" s="4">
        <v>68511</v>
      </c>
      <c r="E8" s="4">
        <v>68511</v>
      </c>
      <c r="F8" s="4">
        <v>68511</v>
      </c>
      <c r="G8" s="4">
        <v>68511</v>
      </c>
      <c r="H8" s="4">
        <v>68511</v>
      </c>
      <c r="I8" s="4">
        <v>68511</v>
      </c>
      <c r="J8" s="4">
        <v>68511</v>
      </c>
      <c r="K8" s="4">
        <v>68511</v>
      </c>
      <c r="L8" s="4">
        <v>68511</v>
      </c>
      <c r="M8" s="4">
        <v>68514</v>
      </c>
      <c r="N8" s="5">
        <f t="shared" si="1"/>
        <v>800927</v>
      </c>
      <c r="P8" s="107"/>
      <c r="Q8" s="1"/>
    </row>
    <row r="9" spans="1:17" ht="15">
      <c r="A9" s="3" t="s">
        <v>101</v>
      </c>
      <c r="B9" s="4"/>
      <c r="C9" s="4"/>
      <c r="D9" s="4"/>
      <c r="E9" s="4"/>
      <c r="F9" s="4"/>
      <c r="G9" s="4"/>
      <c r="H9" s="4">
        <v>8165</v>
      </c>
      <c r="I9" s="4"/>
      <c r="J9" s="4"/>
      <c r="K9" s="4"/>
      <c r="L9" s="4"/>
      <c r="M9" s="4"/>
      <c r="N9" s="5">
        <f t="shared" si="1"/>
        <v>8165</v>
      </c>
      <c r="P9" s="107"/>
      <c r="Q9" s="1"/>
    </row>
    <row r="10" spans="1:14" ht="15">
      <c r="A10" s="3" t="s">
        <v>102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1"/>
        <v>0</v>
      </c>
    </row>
    <row r="11" spans="1:17" ht="15">
      <c r="A11" s="3" t="s">
        <v>103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f t="shared" si="1"/>
        <v>0</v>
      </c>
      <c r="Q11" s="1"/>
    </row>
    <row r="12" spans="1:14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1"/>
        <v>0</v>
      </c>
    </row>
    <row r="13" spans="1:14" ht="15">
      <c r="A13" s="11" t="s">
        <v>95</v>
      </c>
      <c r="B13" s="8">
        <f aca="true" t="shared" si="3" ref="B13:M13">SUM(B14:B15)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200</v>
      </c>
      <c r="N13" s="20">
        <f t="shared" si="1"/>
        <v>200</v>
      </c>
    </row>
    <row r="14" spans="1:14" ht="15">
      <c r="A14" s="3" t="s">
        <v>111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200</v>
      </c>
      <c r="N14" s="5">
        <f>SUM(B14:M14)</f>
        <v>200</v>
      </c>
    </row>
    <row r="15" spans="1:14" ht="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f>SUM(B15:M15)</f>
        <v>0</v>
      </c>
    </row>
    <row r="16" spans="1:14" ht="15">
      <c r="A16" s="11" t="s">
        <v>96</v>
      </c>
      <c r="B16" s="8">
        <f>SUM(B17:B18)</f>
        <v>0</v>
      </c>
      <c r="C16" s="8">
        <f aca="true" t="shared" si="4" ref="C16:M16">SUM(C17:C18)</f>
        <v>0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20">
        <f aca="true" t="shared" si="5" ref="N16:N27">SUM(B16:M16)</f>
        <v>0</v>
      </c>
    </row>
    <row r="17" spans="1:14" ht="15">
      <c r="A17" s="3" t="s">
        <v>116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7" ht="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1"/>
    </row>
    <row r="19" spans="1:14" ht="15">
      <c r="A19" s="11" t="s">
        <v>97</v>
      </c>
      <c r="B19" s="8">
        <f>SUM(B20:B26)</f>
        <v>0</v>
      </c>
      <c r="C19" s="8">
        <f aca="true" t="shared" si="6" ref="C19:M19">SUM(C20:C26)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6"/>
        <v>0</v>
      </c>
      <c r="N19" s="20">
        <f t="shared" si="5"/>
        <v>0</v>
      </c>
    </row>
    <row r="20" spans="1:14" ht="15">
      <c r="A20" s="3" t="s">
        <v>104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5"/>
        <v>0</v>
      </c>
    </row>
    <row r="21" spans="1:14" ht="15">
      <c r="A21" s="3" t="s">
        <v>105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5"/>
        <v>0</v>
      </c>
    </row>
    <row r="22" spans="1:14" ht="15">
      <c r="A22" s="3" t="s">
        <v>106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5"/>
        <v>0</v>
      </c>
    </row>
    <row r="23" spans="1:20" ht="15">
      <c r="A23" s="3" t="s">
        <v>107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5"/>
        <v>0</v>
      </c>
      <c r="S23" s="1"/>
      <c r="T23" s="1"/>
    </row>
    <row r="24" spans="1:14" ht="15">
      <c r="A24" s="3" t="s">
        <v>108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5"/>
        <v>0</v>
      </c>
    </row>
    <row r="25" spans="1:14" ht="15">
      <c r="A25" s="3" t="s">
        <v>109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5"/>
        <v>0</v>
      </c>
    </row>
    <row r="26" spans="1:14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5"/>
        <v>0</v>
      </c>
    </row>
    <row r="27" spans="1:14" ht="15">
      <c r="A27" s="11" t="s">
        <v>110</v>
      </c>
      <c r="B27" s="8">
        <f>SUM(B28:B29)</f>
        <v>0</v>
      </c>
      <c r="C27" s="8">
        <f aca="true" t="shared" si="7" ref="C27:M27">SUM(C28:C29)</f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8">
        <f t="shared" si="7"/>
        <v>0</v>
      </c>
      <c r="I27" s="8">
        <f t="shared" si="7"/>
        <v>0</v>
      </c>
      <c r="J27" s="8">
        <f t="shared" si="7"/>
        <v>0</v>
      </c>
      <c r="K27" s="8">
        <f t="shared" si="7"/>
        <v>0</v>
      </c>
      <c r="L27" s="8">
        <f t="shared" si="7"/>
        <v>0</v>
      </c>
      <c r="M27" s="8">
        <f t="shared" si="7"/>
        <v>0</v>
      </c>
      <c r="N27" s="20">
        <f t="shared" si="5"/>
        <v>0</v>
      </c>
    </row>
    <row r="28" spans="1:14" ht="15">
      <c r="A28" s="3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5">
      <c r="A29" s="3" t="s">
        <v>89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5">
      <c r="A31" s="11" t="s">
        <v>112</v>
      </c>
      <c r="B31" s="8">
        <f>SUM(B32)</f>
        <v>0</v>
      </c>
      <c r="C31" s="8">
        <f aca="true" t="shared" si="8" ref="C31:M31">SUM(C32)</f>
        <v>0</v>
      </c>
      <c r="D31" s="8">
        <f t="shared" si="8"/>
        <v>0</v>
      </c>
      <c r="E31" s="8">
        <f t="shared" si="8"/>
        <v>0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">
        <f t="shared" si="8"/>
        <v>0</v>
      </c>
      <c r="L31" s="8">
        <f t="shared" si="8"/>
        <v>0</v>
      </c>
      <c r="M31" s="8">
        <f t="shared" si="8"/>
        <v>0</v>
      </c>
      <c r="N31" s="20">
        <f>SUM(B31:M31)</f>
        <v>0</v>
      </c>
    </row>
    <row r="32" spans="1:14" ht="15">
      <c r="A32" s="3" t="s">
        <v>113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26.25">
      <c r="A34" s="11" t="s">
        <v>4</v>
      </c>
      <c r="B34" s="8">
        <f>B35+B38</f>
        <v>167897</v>
      </c>
      <c r="C34" s="8">
        <f aca="true" t="shared" si="9" ref="C34:M34">C35+C38</f>
        <v>0</v>
      </c>
      <c r="D34" s="8">
        <f t="shared" si="9"/>
        <v>0</v>
      </c>
      <c r="E34" s="8">
        <f t="shared" si="9"/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20">
        <f aca="true" t="shared" si="10" ref="N34:N45">SUM(B34:M34)</f>
        <v>167897</v>
      </c>
    </row>
    <row r="35" spans="1:14" ht="26.25">
      <c r="A35" s="6" t="s">
        <v>5</v>
      </c>
      <c r="B35" s="4">
        <f>SUM(B36:B37)</f>
        <v>167897</v>
      </c>
      <c r="C35" s="4">
        <f aca="true" t="shared" si="11" ref="C35:M35">SUM(C36:C37)</f>
        <v>0</v>
      </c>
      <c r="D35" s="4">
        <f t="shared" si="11"/>
        <v>0</v>
      </c>
      <c r="E35" s="4">
        <f t="shared" si="11"/>
        <v>0</v>
      </c>
      <c r="F35" s="4">
        <f t="shared" si="11"/>
        <v>0</v>
      </c>
      <c r="G35" s="4">
        <f t="shared" si="11"/>
        <v>0</v>
      </c>
      <c r="H35" s="4">
        <f t="shared" si="11"/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5">
        <f t="shared" si="10"/>
        <v>167897</v>
      </c>
    </row>
    <row r="36" spans="1:14" ht="15">
      <c r="A36" s="3" t="s">
        <v>6</v>
      </c>
      <c r="B36" s="62">
        <v>167897</v>
      </c>
      <c r="C36" s="62">
        <v>0</v>
      </c>
      <c r="D36" s="62"/>
      <c r="E36" s="4"/>
      <c r="F36" s="4"/>
      <c r="G36" s="4"/>
      <c r="H36" s="4"/>
      <c r="I36" s="4"/>
      <c r="J36" s="4"/>
      <c r="K36" s="4"/>
      <c r="L36" s="4"/>
      <c r="M36" s="4"/>
      <c r="N36" s="5">
        <f t="shared" si="10"/>
        <v>167897</v>
      </c>
    </row>
    <row r="37" spans="1:14" ht="15">
      <c r="A37" s="3" t="s">
        <v>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f t="shared" si="10"/>
        <v>0</v>
      </c>
    </row>
    <row r="38" spans="1:14" ht="15">
      <c r="A38" s="61" t="s">
        <v>8</v>
      </c>
      <c r="B38" s="62">
        <f>SUM(B39:B40)</f>
        <v>0</v>
      </c>
      <c r="C38" s="62">
        <f aca="true" t="shared" si="12" ref="C38:M38">SUM(C39:C40)</f>
        <v>0</v>
      </c>
      <c r="D38" s="62">
        <f t="shared" si="12"/>
        <v>0</v>
      </c>
      <c r="E38" s="62">
        <f t="shared" si="12"/>
        <v>0</v>
      </c>
      <c r="F38" s="62">
        <f t="shared" si="12"/>
        <v>0</v>
      </c>
      <c r="G38" s="62">
        <f t="shared" si="12"/>
        <v>0</v>
      </c>
      <c r="H38" s="62">
        <f t="shared" si="12"/>
        <v>0</v>
      </c>
      <c r="I38" s="62">
        <f t="shared" si="12"/>
        <v>0</v>
      </c>
      <c r="J38" s="62">
        <f t="shared" si="12"/>
        <v>0</v>
      </c>
      <c r="K38" s="62">
        <f t="shared" si="12"/>
        <v>0</v>
      </c>
      <c r="L38" s="62">
        <f t="shared" si="12"/>
        <v>0</v>
      </c>
      <c r="M38" s="62">
        <f t="shared" si="12"/>
        <v>0</v>
      </c>
      <c r="N38" s="5">
        <f t="shared" si="10"/>
        <v>0</v>
      </c>
    </row>
    <row r="39" spans="1:14" ht="15">
      <c r="A39" s="3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f t="shared" si="10"/>
        <v>0</v>
      </c>
    </row>
    <row r="40" spans="1:14" ht="15">
      <c r="A40" s="3" t="s">
        <v>10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f t="shared" si="10"/>
        <v>0</v>
      </c>
    </row>
    <row r="41" spans="1:14" ht="15">
      <c r="A41" s="157" t="s">
        <v>137</v>
      </c>
      <c r="B41" s="8">
        <f>B42+B43</f>
        <v>0</v>
      </c>
      <c r="C41" s="8">
        <f aca="true" t="shared" si="13" ref="C41:N41">C42+C43</f>
        <v>0</v>
      </c>
      <c r="D41" s="8">
        <f t="shared" si="13"/>
        <v>0</v>
      </c>
      <c r="E41" s="8">
        <f t="shared" si="13"/>
        <v>0</v>
      </c>
      <c r="F41" s="8">
        <f t="shared" si="13"/>
        <v>0</v>
      </c>
      <c r="G41" s="8">
        <f t="shared" si="13"/>
        <v>0</v>
      </c>
      <c r="H41" s="8">
        <f t="shared" si="13"/>
        <v>0</v>
      </c>
      <c r="I41" s="8">
        <f t="shared" si="13"/>
        <v>0</v>
      </c>
      <c r="J41" s="8">
        <f t="shared" si="13"/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20">
        <f t="shared" si="13"/>
        <v>0</v>
      </c>
    </row>
    <row r="42" spans="1:14" ht="15">
      <c r="A42" s="6" t="s">
        <v>138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f>SUM(B42:M42)</f>
        <v>0</v>
      </c>
    </row>
    <row r="43" spans="1:14" ht="15">
      <c r="A43" s="6" t="s">
        <v>139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f>SUM(B43:M43)</f>
        <v>0</v>
      </c>
    </row>
    <row r="44" spans="1:14" ht="15">
      <c r="A44" s="57" t="s">
        <v>36</v>
      </c>
      <c r="B44" s="48">
        <f>B34+B19+B16+B13+B5+B3+B27+B31+B41</f>
        <v>244463</v>
      </c>
      <c r="C44" s="48">
        <f aca="true" t="shared" si="14" ref="C44:N44">C34+C19+C16+C13+C5+C3+C27+C31+C41</f>
        <v>89293</v>
      </c>
      <c r="D44" s="48">
        <f t="shared" si="14"/>
        <v>111599</v>
      </c>
      <c r="E44" s="48">
        <f t="shared" si="14"/>
        <v>98518</v>
      </c>
      <c r="F44" s="48">
        <f t="shared" si="14"/>
        <v>98936</v>
      </c>
      <c r="G44" s="48">
        <f t="shared" si="14"/>
        <v>95851</v>
      </c>
      <c r="H44" s="48">
        <f t="shared" si="14"/>
        <v>102116</v>
      </c>
      <c r="I44" s="48">
        <f t="shared" si="14"/>
        <v>91867</v>
      </c>
      <c r="J44" s="48">
        <f t="shared" si="14"/>
        <v>93767</v>
      </c>
      <c r="K44" s="48">
        <f t="shared" si="14"/>
        <v>93767</v>
      </c>
      <c r="L44" s="48">
        <f t="shared" si="14"/>
        <v>93767</v>
      </c>
      <c r="M44" s="48">
        <f t="shared" si="14"/>
        <v>91235</v>
      </c>
      <c r="N44" s="49">
        <f t="shared" si="14"/>
        <v>1305179</v>
      </c>
    </row>
    <row r="45" spans="1:14" ht="15">
      <c r="A45" s="60" t="s">
        <v>18</v>
      </c>
      <c r="B45" s="8">
        <f aca="true" t="shared" si="15" ref="B45:L45">SUM(B46:B51)</f>
        <v>101495</v>
      </c>
      <c r="C45" s="8">
        <f t="shared" si="15"/>
        <v>90898</v>
      </c>
      <c r="D45" s="8">
        <f t="shared" si="15"/>
        <v>99520</v>
      </c>
      <c r="E45" s="8">
        <f t="shared" si="15"/>
        <v>90923</v>
      </c>
      <c r="F45" s="8">
        <f t="shared" si="15"/>
        <v>90923</v>
      </c>
      <c r="G45" s="8">
        <f t="shared" si="15"/>
        <v>84520</v>
      </c>
      <c r="H45" s="8">
        <f t="shared" si="15"/>
        <v>84520</v>
      </c>
      <c r="I45" s="8">
        <f t="shared" si="15"/>
        <v>92923</v>
      </c>
      <c r="J45" s="8">
        <f t="shared" si="15"/>
        <v>91923</v>
      </c>
      <c r="K45" s="8">
        <f t="shared" si="15"/>
        <v>92715</v>
      </c>
      <c r="L45" s="8">
        <f t="shared" si="15"/>
        <v>98812</v>
      </c>
      <c r="M45" s="8">
        <f>SUM(M46:M51)</f>
        <v>96681</v>
      </c>
      <c r="N45" s="20">
        <f t="shared" si="10"/>
        <v>1115853</v>
      </c>
    </row>
    <row r="46" spans="1:18" ht="15">
      <c r="A46" s="39" t="s">
        <v>13</v>
      </c>
      <c r="B46" s="4">
        <v>53004</v>
      </c>
      <c r="C46" s="4">
        <v>53004</v>
      </c>
      <c r="D46" s="4">
        <v>53004</v>
      </c>
      <c r="E46" s="4">
        <v>53004</v>
      </c>
      <c r="F46" s="4">
        <v>53004</v>
      </c>
      <c r="G46" s="4">
        <v>53004</v>
      </c>
      <c r="H46" s="4">
        <v>53004</v>
      </c>
      <c r="I46" s="4">
        <v>53004</v>
      </c>
      <c r="J46" s="4">
        <v>53004</v>
      </c>
      <c r="K46" s="4">
        <v>53004</v>
      </c>
      <c r="L46" s="4">
        <v>53004</v>
      </c>
      <c r="M46" s="4">
        <v>53002</v>
      </c>
      <c r="N46" s="5">
        <f aca="true" t="shared" si="16" ref="N46:N60">SUM(B46:M46)</f>
        <v>636046</v>
      </c>
      <c r="P46" s="107"/>
      <c r="Q46" s="107"/>
      <c r="R46" s="1"/>
    </row>
    <row r="47" spans="1:20" ht="15">
      <c r="A47" s="39" t="s">
        <v>14</v>
      </c>
      <c r="B47" s="4">
        <v>10511</v>
      </c>
      <c r="C47" s="4">
        <v>10511</v>
      </c>
      <c r="D47" s="4">
        <v>10511</v>
      </c>
      <c r="E47" s="4">
        <v>10511</v>
      </c>
      <c r="F47" s="4">
        <v>10511</v>
      </c>
      <c r="G47" s="4">
        <v>10511</v>
      </c>
      <c r="H47" s="4">
        <v>10511</v>
      </c>
      <c r="I47" s="4">
        <v>10511</v>
      </c>
      <c r="J47" s="4">
        <v>9511</v>
      </c>
      <c r="K47" s="4">
        <v>9511</v>
      </c>
      <c r="L47" s="4">
        <v>10400</v>
      </c>
      <c r="M47" s="4">
        <v>10516</v>
      </c>
      <c r="N47" s="5">
        <f t="shared" si="16"/>
        <v>124026</v>
      </c>
      <c r="P47" s="107"/>
      <c r="Q47" s="107"/>
      <c r="T47" s="1"/>
    </row>
    <row r="48" spans="1:18" ht="15">
      <c r="A48" s="39" t="s">
        <v>15</v>
      </c>
      <c r="B48" s="4">
        <v>37980</v>
      </c>
      <c r="C48" s="4">
        <v>27383</v>
      </c>
      <c r="D48" s="4">
        <v>35980</v>
      </c>
      <c r="E48" s="4">
        <v>27383</v>
      </c>
      <c r="F48" s="4">
        <v>27383</v>
      </c>
      <c r="G48" s="4">
        <v>20980</v>
      </c>
      <c r="H48" s="4">
        <v>20980</v>
      </c>
      <c r="I48" s="4">
        <v>29383</v>
      </c>
      <c r="J48" s="4">
        <v>29383</v>
      </c>
      <c r="K48" s="4">
        <f>29383+792</f>
        <v>30175</v>
      </c>
      <c r="L48" s="4">
        <v>35383</v>
      </c>
      <c r="M48" s="4">
        <v>28164</v>
      </c>
      <c r="N48" s="5">
        <f t="shared" si="16"/>
        <v>350557</v>
      </c>
      <c r="P48" s="107"/>
      <c r="Q48" s="107"/>
      <c r="R48" s="1"/>
    </row>
    <row r="49" spans="1:17" ht="15">
      <c r="A49" s="53" t="s">
        <v>85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v>4974</v>
      </c>
      <c r="N49" s="5">
        <f t="shared" si="16"/>
        <v>4974</v>
      </c>
      <c r="P49" s="107"/>
      <c r="Q49" s="1"/>
    </row>
    <row r="50" spans="1:17" ht="15">
      <c r="A50" s="39" t="s">
        <v>86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f t="shared" si="16"/>
        <v>0</v>
      </c>
      <c r="P50" s="107"/>
      <c r="Q50" s="107"/>
    </row>
    <row r="51" spans="1:16" ht="15">
      <c r="A51" s="39" t="s">
        <v>76</v>
      </c>
      <c r="B51" s="4"/>
      <c r="C51" s="4"/>
      <c r="D51" s="4">
        <v>25</v>
      </c>
      <c r="E51" s="4">
        <v>25</v>
      </c>
      <c r="F51" s="4">
        <v>25</v>
      </c>
      <c r="G51" s="4">
        <v>25</v>
      </c>
      <c r="H51" s="4">
        <v>25</v>
      </c>
      <c r="I51" s="4">
        <v>25</v>
      </c>
      <c r="J51" s="4">
        <v>25</v>
      </c>
      <c r="K51" s="4">
        <v>25</v>
      </c>
      <c r="L51" s="4">
        <v>25</v>
      </c>
      <c r="M51" s="4">
        <v>25</v>
      </c>
      <c r="N51" s="5">
        <f t="shared" si="16"/>
        <v>250</v>
      </c>
      <c r="P51" s="107"/>
    </row>
    <row r="52" spans="1:16" ht="15">
      <c r="A52" s="59" t="s">
        <v>23</v>
      </c>
      <c r="B52" s="8">
        <f>SUM(B53:B55)</f>
        <v>0</v>
      </c>
      <c r="C52" s="8">
        <f aca="true" t="shared" si="17" ref="C52:M52">SUM(C53:C55)</f>
        <v>0</v>
      </c>
      <c r="D52" s="8">
        <f t="shared" si="17"/>
        <v>0</v>
      </c>
      <c r="E52" s="8">
        <f t="shared" si="17"/>
        <v>0</v>
      </c>
      <c r="F52" s="8">
        <f t="shared" si="17"/>
        <v>3571</v>
      </c>
      <c r="G52" s="8">
        <f t="shared" si="17"/>
        <v>0</v>
      </c>
      <c r="H52" s="8">
        <f t="shared" si="17"/>
        <v>0</v>
      </c>
      <c r="I52" s="8">
        <f t="shared" si="17"/>
        <v>0</v>
      </c>
      <c r="J52" s="8">
        <f t="shared" si="17"/>
        <v>0</v>
      </c>
      <c r="K52" s="8">
        <f t="shared" si="17"/>
        <v>2400</v>
      </c>
      <c r="L52" s="8">
        <f t="shared" si="17"/>
        <v>0</v>
      </c>
      <c r="M52" s="8">
        <f t="shared" si="17"/>
        <v>4000</v>
      </c>
      <c r="N52" s="20">
        <f t="shared" si="16"/>
        <v>9971</v>
      </c>
      <c r="P52" s="107"/>
    </row>
    <row r="53" spans="1:17" ht="15">
      <c r="A53" s="16" t="s">
        <v>78</v>
      </c>
      <c r="B53" s="4"/>
      <c r="C53" s="4"/>
      <c r="D53" s="4"/>
      <c r="E53" s="4"/>
      <c r="F53" s="4">
        <v>3571</v>
      </c>
      <c r="G53" s="4"/>
      <c r="H53" s="4"/>
      <c r="I53" s="4"/>
      <c r="J53" s="4"/>
      <c r="K53" s="4">
        <v>2400</v>
      </c>
      <c r="L53" s="4"/>
      <c r="M53" s="4">
        <v>4000</v>
      </c>
      <c r="N53" s="5">
        <f t="shared" si="16"/>
        <v>9971</v>
      </c>
      <c r="P53" s="107"/>
      <c r="Q53" s="1"/>
    </row>
    <row r="54" spans="1:16" ht="15">
      <c r="A54" s="16" t="s">
        <v>81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>
        <f t="shared" si="16"/>
        <v>0</v>
      </c>
      <c r="P54" s="107"/>
    </row>
    <row r="55" spans="1:14" ht="15">
      <c r="A55" s="18" t="s">
        <v>91</v>
      </c>
      <c r="B55" s="4">
        <f aca="true" t="shared" si="18" ref="B55:M55">SUM(B56:B56)</f>
        <v>0</v>
      </c>
      <c r="C55" s="4">
        <f t="shared" si="18"/>
        <v>0</v>
      </c>
      <c r="D55" s="4">
        <f t="shared" si="18"/>
        <v>0</v>
      </c>
      <c r="E55" s="4">
        <f t="shared" si="18"/>
        <v>0</v>
      </c>
      <c r="F55" s="4">
        <f t="shared" si="18"/>
        <v>0</v>
      </c>
      <c r="G55" s="4">
        <f t="shared" si="18"/>
        <v>0</v>
      </c>
      <c r="H55" s="4">
        <f t="shared" si="18"/>
        <v>0</v>
      </c>
      <c r="I55" s="4">
        <f t="shared" si="18"/>
        <v>0</v>
      </c>
      <c r="J55" s="4">
        <f t="shared" si="18"/>
        <v>0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5">
        <f t="shared" si="16"/>
        <v>0</v>
      </c>
    </row>
    <row r="56" spans="1:14" ht="15">
      <c r="A56" s="18" t="s">
        <v>92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>
        <f t="shared" si="16"/>
        <v>0</v>
      </c>
    </row>
    <row r="57" spans="1:14" ht="15">
      <c r="A57" s="19" t="s">
        <v>121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>
        <v>33576</v>
      </c>
      <c r="N57" s="20">
        <f t="shared" si="16"/>
        <v>33576</v>
      </c>
    </row>
    <row r="58" spans="1:14" ht="15">
      <c r="A58" s="19" t="s">
        <v>122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v>145779</v>
      </c>
      <c r="N58" s="20">
        <f t="shared" si="16"/>
        <v>145779</v>
      </c>
    </row>
    <row r="59" spans="1:14" ht="15">
      <c r="A59" s="149" t="s">
        <v>140</v>
      </c>
      <c r="B59" s="162">
        <f>B60</f>
        <v>0</v>
      </c>
      <c r="C59" s="162">
        <f aca="true" t="shared" si="19" ref="C59:M59">C60</f>
        <v>0</v>
      </c>
      <c r="D59" s="162">
        <f t="shared" si="19"/>
        <v>0</v>
      </c>
      <c r="E59" s="162">
        <f t="shared" si="19"/>
        <v>0</v>
      </c>
      <c r="F59" s="162">
        <f t="shared" si="19"/>
        <v>0</v>
      </c>
      <c r="G59" s="162">
        <f t="shared" si="19"/>
        <v>0</v>
      </c>
      <c r="H59" s="162">
        <f t="shared" si="19"/>
        <v>0</v>
      </c>
      <c r="I59" s="162">
        <f t="shared" si="19"/>
        <v>0</v>
      </c>
      <c r="J59" s="162">
        <f t="shared" si="19"/>
        <v>0</v>
      </c>
      <c r="K59" s="162">
        <f t="shared" si="19"/>
        <v>0</v>
      </c>
      <c r="L59" s="162">
        <f t="shared" si="19"/>
        <v>0</v>
      </c>
      <c r="M59" s="162">
        <f t="shared" si="19"/>
        <v>0</v>
      </c>
      <c r="N59" s="163">
        <f t="shared" si="16"/>
        <v>0</v>
      </c>
    </row>
    <row r="60" spans="1:14" ht="25.5">
      <c r="A60" s="156" t="s">
        <v>141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5">
        <f t="shared" si="16"/>
        <v>0</v>
      </c>
    </row>
    <row r="61" spans="1:14" ht="15.75" thickBot="1">
      <c r="A61" s="52" t="s">
        <v>37</v>
      </c>
      <c r="B61" s="27">
        <f>B58+B57+B52+B45+B59</f>
        <v>101495</v>
      </c>
      <c r="C61" s="27">
        <f aca="true" t="shared" si="20" ref="C61:M61">C58+C57+C52+C45+C59</f>
        <v>90898</v>
      </c>
      <c r="D61" s="27">
        <f t="shared" si="20"/>
        <v>99520</v>
      </c>
      <c r="E61" s="27">
        <f t="shared" si="20"/>
        <v>90923</v>
      </c>
      <c r="F61" s="27">
        <f t="shared" si="20"/>
        <v>94494</v>
      </c>
      <c r="G61" s="27">
        <f t="shared" si="20"/>
        <v>84520</v>
      </c>
      <c r="H61" s="27">
        <f t="shared" si="20"/>
        <v>84520</v>
      </c>
      <c r="I61" s="27">
        <f t="shared" si="20"/>
        <v>92923</v>
      </c>
      <c r="J61" s="27">
        <f t="shared" si="20"/>
        <v>91923</v>
      </c>
      <c r="K61" s="27">
        <f t="shared" si="20"/>
        <v>95115</v>
      </c>
      <c r="L61" s="27">
        <f t="shared" si="20"/>
        <v>98812</v>
      </c>
      <c r="M61" s="27">
        <f t="shared" si="20"/>
        <v>280036</v>
      </c>
      <c r="N61" s="58">
        <f>SUM(B61:M61)</f>
        <v>1305179</v>
      </c>
    </row>
    <row r="62" ht="15">
      <c r="N62" s="1"/>
    </row>
    <row r="63" spans="2:1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5">
      <c r="N64" s="1"/>
    </row>
    <row r="65" ht="15">
      <c r="N65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8" r:id="rId2"/>
  <headerFooter>
    <oddHeader>&amp;L&amp;G&amp;C.../2020 (II.19.) számú határozat
a Marcali Kistérségi Többcélú Társulás
2019. évi költségvetésének módosításáról</oddHeader>
    <oddFooter>&amp;C&amp;P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view="pageBreakPreview" zoomScale="172" zoomScaleSheetLayoutView="172" workbookViewId="0" topLeftCell="A1">
      <selection activeCell="A1" sqref="A1"/>
    </sheetView>
  </sheetViews>
  <sheetFormatPr defaultColWidth="9.140625" defaultRowHeight="15"/>
  <cols>
    <col min="1" max="1" width="68.00390625" style="0" customWidth="1"/>
    <col min="2" max="5" width="11.421875" style="0" customWidth="1"/>
    <col min="6" max="6" width="10.421875" style="0" customWidth="1"/>
    <col min="7" max="7" width="11.8515625" style="0" customWidth="1"/>
    <col min="8" max="8" width="9.421875" style="0" bestFit="1" customWidth="1"/>
    <col min="9" max="9" width="9.421875" style="0" customWidth="1"/>
    <col min="10" max="10" width="11.421875" style="0" customWidth="1"/>
    <col min="11" max="11" width="13.421875" style="0" customWidth="1"/>
    <col min="12" max="12" width="14.421875" style="0" customWidth="1"/>
    <col min="13" max="13" width="11.421875" style="0" customWidth="1"/>
  </cols>
  <sheetData>
    <row r="1" spans="1:13" ht="15.75" thickBot="1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 t="s">
        <v>16</v>
      </c>
    </row>
    <row r="2" spans="1:13" ht="38.25">
      <c r="A2" s="123"/>
      <c r="B2" s="245" t="s">
        <v>118</v>
      </c>
      <c r="C2" s="245"/>
      <c r="D2" s="245"/>
      <c r="E2" s="245"/>
      <c r="F2" s="245"/>
      <c r="G2" s="245"/>
      <c r="H2" s="245"/>
      <c r="I2" s="245"/>
      <c r="J2" s="245"/>
      <c r="K2" s="181" t="s">
        <v>119</v>
      </c>
      <c r="L2" s="181" t="s">
        <v>120</v>
      </c>
      <c r="M2" s="246" t="s">
        <v>12</v>
      </c>
    </row>
    <row r="3" spans="1:13" ht="15" customHeight="1">
      <c r="A3" s="248"/>
      <c r="B3" s="244" t="s">
        <v>131</v>
      </c>
      <c r="C3" s="244" t="s">
        <v>148</v>
      </c>
      <c r="D3" s="242" t="s">
        <v>66</v>
      </c>
      <c r="E3" s="242" t="s">
        <v>129</v>
      </c>
      <c r="F3" s="244" t="s">
        <v>72</v>
      </c>
      <c r="G3" s="244" t="s">
        <v>93</v>
      </c>
      <c r="H3" s="244" t="s">
        <v>46</v>
      </c>
      <c r="I3" s="242" t="s">
        <v>147</v>
      </c>
      <c r="J3" s="242" t="s">
        <v>144</v>
      </c>
      <c r="K3" s="244" t="s">
        <v>217</v>
      </c>
      <c r="L3" s="244" t="s">
        <v>132</v>
      </c>
      <c r="M3" s="247"/>
    </row>
    <row r="4" spans="1:13" ht="46.5" customHeight="1">
      <c r="A4" s="248"/>
      <c r="B4" s="244"/>
      <c r="C4" s="244"/>
      <c r="D4" s="243"/>
      <c r="E4" s="243"/>
      <c r="F4" s="244"/>
      <c r="G4" s="244"/>
      <c r="H4" s="244"/>
      <c r="I4" s="243"/>
      <c r="J4" s="243"/>
      <c r="K4" s="244"/>
      <c r="L4" s="244"/>
      <c r="M4" s="247"/>
    </row>
    <row r="5" spans="1:13" ht="15">
      <c r="A5" s="11" t="s">
        <v>1</v>
      </c>
      <c r="B5" s="68">
        <f>B6</f>
        <v>4682</v>
      </c>
      <c r="C5" s="68">
        <f>C6</f>
        <v>0</v>
      </c>
      <c r="D5" s="68">
        <f>D6</f>
        <v>0</v>
      </c>
      <c r="E5" s="68">
        <f>E6</f>
        <v>0</v>
      </c>
      <c r="F5" s="68">
        <f aca="true" t="shared" si="0" ref="F5:M5">F6</f>
        <v>0</v>
      </c>
      <c r="G5" s="68">
        <f t="shared" si="0"/>
        <v>0</v>
      </c>
      <c r="H5" s="68">
        <f t="shared" si="0"/>
        <v>0</v>
      </c>
      <c r="I5" s="68">
        <f t="shared" si="0"/>
        <v>0</v>
      </c>
      <c r="J5" s="68">
        <f t="shared" si="0"/>
        <v>27175</v>
      </c>
      <c r="K5" s="68">
        <f t="shared" si="0"/>
        <v>0</v>
      </c>
      <c r="L5" s="68">
        <f t="shared" si="0"/>
        <v>0</v>
      </c>
      <c r="M5" s="69">
        <f t="shared" si="0"/>
        <v>31857</v>
      </c>
    </row>
    <row r="6" spans="1:16" ht="15">
      <c r="A6" s="3" t="s">
        <v>2</v>
      </c>
      <c r="B6" s="70">
        <v>4682</v>
      </c>
      <c r="C6" s="70"/>
      <c r="D6" s="70"/>
      <c r="E6" s="70"/>
      <c r="F6" s="70"/>
      <c r="G6" s="70"/>
      <c r="H6" s="70"/>
      <c r="I6" s="70"/>
      <c r="J6" s="70">
        <v>27175</v>
      </c>
      <c r="K6" s="70"/>
      <c r="L6" s="120"/>
      <c r="M6" s="71">
        <f aca="true" t="shared" si="1" ref="M6:M48">SUM(B6:L6)</f>
        <v>31857</v>
      </c>
      <c r="P6" s="1"/>
    </row>
    <row r="7" spans="1:13" ht="15">
      <c r="A7" s="3"/>
      <c r="B7" s="70"/>
      <c r="C7" s="70"/>
      <c r="D7" s="70"/>
      <c r="E7" s="70"/>
      <c r="F7" s="70"/>
      <c r="G7" s="70"/>
      <c r="H7" s="70"/>
      <c r="I7" s="70"/>
      <c r="J7" s="70"/>
      <c r="K7" s="70"/>
      <c r="L7" s="120"/>
      <c r="M7" s="71">
        <f t="shared" si="1"/>
        <v>0</v>
      </c>
    </row>
    <row r="8" spans="1:13" ht="15">
      <c r="A8" s="11" t="s">
        <v>94</v>
      </c>
      <c r="B8" s="68">
        <f>SUM(B9:B14)</f>
        <v>290896</v>
      </c>
      <c r="C8" s="68">
        <f>SUM(C9:C14)</f>
        <v>476869</v>
      </c>
      <c r="D8" s="68">
        <f>SUM(D9:D14)</f>
        <v>17546</v>
      </c>
      <c r="E8" s="68">
        <f>SUM(E9:E14)</f>
        <v>6774</v>
      </c>
      <c r="F8" s="68">
        <f aca="true" t="shared" si="2" ref="F8:L8">SUM(F9:F14)</f>
        <v>22931</v>
      </c>
      <c r="G8" s="68">
        <f t="shared" si="2"/>
        <v>81092</v>
      </c>
      <c r="H8" s="68">
        <f t="shared" si="2"/>
        <v>698</v>
      </c>
      <c r="I8" s="68">
        <f>SUM(I9:I14)</f>
        <v>35700</v>
      </c>
      <c r="J8" s="68">
        <f t="shared" si="2"/>
        <v>0</v>
      </c>
      <c r="K8" s="68">
        <f t="shared" si="2"/>
        <v>156</v>
      </c>
      <c r="L8" s="68">
        <f t="shared" si="2"/>
        <v>5617</v>
      </c>
      <c r="M8" s="69">
        <f t="shared" si="1"/>
        <v>938279</v>
      </c>
    </row>
    <row r="9" spans="1:16" ht="15">
      <c r="A9" s="3" t="s">
        <v>98</v>
      </c>
      <c r="B9" s="72"/>
      <c r="C9" s="72"/>
      <c r="D9" s="72"/>
      <c r="E9" s="72"/>
      <c r="F9" s="70">
        <v>22931</v>
      </c>
      <c r="G9" s="70">
        <v>79786</v>
      </c>
      <c r="H9" s="72"/>
      <c r="I9" s="72"/>
      <c r="J9" s="72"/>
      <c r="K9" s="72"/>
      <c r="L9" s="121"/>
      <c r="M9" s="71">
        <f t="shared" si="1"/>
        <v>102717</v>
      </c>
      <c r="P9" s="1"/>
    </row>
    <row r="10" spans="1:13" ht="15">
      <c r="A10" s="3" t="s">
        <v>99</v>
      </c>
      <c r="B10" s="70"/>
      <c r="C10" s="70"/>
      <c r="D10" s="70"/>
      <c r="E10" s="70"/>
      <c r="F10" s="70"/>
      <c r="G10" s="70"/>
      <c r="H10" s="70"/>
      <c r="I10" s="70">
        <v>35700</v>
      </c>
      <c r="J10" s="70"/>
      <c r="K10" s="70"/>
      <c r="L10" s="120"/>
      <c r="M10" s="71">
        <f t="shared" si="1"/>
        <v>35700</v>
      </c>
    </row>
    <row r="11" spans="1:16" ht="15">
      <c r="A11" s="3" t="s">
        <v>100</v>
      </c>
      <c r="B11" s="70">
        <v>290896</v>
      </c>
      <c r="C11" s="70">
        <f>476869</f>
        <v>476869</v>
      </c>
      <c r="D11" s="70">
        <v>17546</v>
      </c>
      <c r="E11" s="70">
        <v>6774</v>
      </c>
      <c r="F11" s="70"/>
      <c r="G11" s="70">
        <v>1306</v>
      </c>
      <c r="H11" s="70">
        <f>740-42</f>
        <v>698</v>
      </c>
      <c r="I11" s="70"/>
      <c r="J11" s="70"/>
      <c r="K11" s="70">
        <v>156</v>
      </c>
      <c r="L11" s="120">
        <v>5617</v>
      </c>
      <c r="M11" s="71">
        <f t="shared" si="1"/>
        <v>799862</v>
      </c>
      <c r="P11" s="1"/>
    </row>
    <row r="12" spans="1:13" ht="15">
      <c r="A12" s="3" t="s">
        <v>101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22"/>
      <c r="M12" s="116">
        <f t="shared" si="1"/>
        <v>0</v>
      </c>
    </row>
    <row r="13" spans="1:13" ht="15">
      <c r="A13" s="3" t="s">
        <v>102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120"/>
      <c r="M13" s="71">
        <f t="shared" si="1"/>
        <v>0</v>
      </c>
    </row>
    <row r="14" spans="1:13" ht="15">
      <c r="A14" s="3" t="s">
        <v>103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120"/>
      <c r="M14" s="71">
        <f t="shared" si="1"/>
        <v>0</v>
      </c>
    </row>
    <row r="15" spans="1:13" ht="15">
      <c r="A15" s="3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120"/>
      <c r="M15" s="71">
        <f t="shared" si="1"/>
        <v>0</v>
      </c>
    </row>
    <row r="16" spans="1:13" ht="15">
      <c r="A16" s="11" t="s">
        <v>95</v>
      </c>
      <c r="B16" s="68">
        <f aca="true" t="shared" si="3" ref="B16:L16">SUM(B17:B17)</f>
        <v>0</v>
      </c>
      <c r="C16" s="68">
        <f t="shared" si="3"/>
        <v>0</v>
      </c>
      <c r="D16" s="68">
        <f t="shared" si="3"/>
        <v>0</v>
      </c>
      <c r="E16" s="68">
        <f t="shared" si="3"/>
        <v>0</v>
      </c>
      <c r="F16" s="68">
        <f t="shared" si="3"/>
        <v>0</v>
      </c>
      <c r="G16" s="68">
        <f t="shared" si="3"/>
        <v>0</v>
      </c>
      <c r="H16" s="68">
        <f t="shared" si="3"/>
        <v>0</v>
      </c>
      <c r="I16" s="68">
        <f t="shared" si="3"/>
        <v>0</v>
      </c>
      <c r="J16" s="68">
        <f t="shared" si="3"/>
        <v>0</v>
      </c>
      <c r="K16" s="68">
        <f t="shared" si="3"/>
        <v>0</v>
      </c>
      <c r="L16" s="68">
        <f t="shared" si="3"/>
        <v>0</v>
      </c>
      <c r="M16" s="69">
        <f t="shared" si="1"/>
        <v>0</v>
      </c>
    </row>
    <row r="17" spans="1:13" ht="15">
      <c r="A17" s="3" t="s">
        <v>111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3" ht="15">
      <c r="A18" s="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3" ht="15">
      <c r="A19" s="11" t="s">
        <v>96</v>
      </c>
      <c r="B19" s="68">
        <f aca="true" t="shared" si="4" ref="B19:L19">SUM(B20:B20)</f>
        <v>0</v>
      </c>
      <c r="C19" s="68">
        <f t="shared" si="4"/>
        <v>0</v>
      </c>
      <c r="D19" s="68">
        <f t="shared" si="4"/>
        <v>0</v>
      </c>
      <c r="E19" s="68">
        <f t="shared" si="4"/>
        <v>0</v>
      </c>
      <c r="F19" s="68">
        <f t="shared" si="4"/>
        <v>0</v>
      </c>
      <c r="G19" s="68">
        <f t="shared" si="4"/>
        <v>0</v>
      </c>
      <c r="H19" s="68">
        <f t="shared" si="4"/>
        <v>0</v>
      </c>
      <c r="I19" s="68">
        <f t="shared" si="4"/>
        <v>0</v>
      </c>
      <c r="J19" s="68">
        <f t="shared" si="4"/>
        <v>0</v>
      </c>
      <c r="K19" s="68">
        <f t="shared" si="4"/>
        <v>0</v>
      </c>
      <c r="L19" s="68">
        <f t="shared" si="4"/>
        <v>0</v>
      </c>
      <c r="M19" s="69">
        <f t="shared" si="1"/>
        <v>0</v>
      </c>
    </row>
    <row r="20" spans="1:13" ht="15">
      <c r="A20" s="3" t="s">
        <v>116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>
        <f t="shared" si="1"/>
        <v>0</v>
      </c>
    </row>
    <row r="21" spans="1:13" ht="15">
      <c r="A21" s="3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>
        <f t="shared" si="1"/>
        <v>0</v>
      </c>
    </row>
    <row r="22" spans="1:13" ht="15">
      <c r="A22" s="11" t="s">
        <v>97</v>
      </c>
      <c r="B22" s="68">
        <f aca="true" t="shared" si="5" ref="B22:L22">SUM(B23:B28)</f>
        <v>0</v>
      </c>
      <c r="C22" s="68">
        <f t="shared" si="5"/>
        <v>0</v>
      </c>
      <c r="D22" s="68">
        <f t="shared" si="5"/>
        <v>0</v>
      </c>
      <c r="E22" s="68">
        <f t="shared" si="5"/>
        <v>0</v>
      </c>
      <c r="F22" s="68">
        <f t="shared" si="5"/>
        <v>0</v>
      </c>
      <c r="G22" s="68">
        <f t="shared" si="5"/>
        <v>0</v>
      </c>
      <c r="H22" s="68">
        <f t="shared" si="5"/>
        <v>0</v>
      </c>
      <c r="I22" s="68">
        <f>SUM(I23:I28)</f>
        <v>0</v>
      </c>
      <c r="J22" s="68">
        <f t="shared" si="5"/>
        <v>0</v>
      </c>
      <c r="K22" s="68">
        <f t="shared" si="5"/>
        <v>0</v>
      </c>
      <c r="L22" s="68">
        <f t="shared" si="5"/>
        <v>0</v>
      </c>
      <c r="M22" s="69">
        <f t="shared" si="1"/>
        <v>0</v>
      </c>
    </row>
    <row r="23" spans="1:13" ht="15">
      <c r="A23" s="3" t="s">
        <v>104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>
        <f t="shared" si="1"/>
        <v>0</v>
      </c>
    </row>
    <row r="24" spans="1:13" ht="15">
      <c r="A24" s="3" t="s">
        <v>105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>
        <f t="shared" si="1"/>
        <v>0</v>
      </c>
    </row>
    <row r="25" spans="1:13" ht="15">
      <c r="A25" s="3" t="s">
        <v>106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>
        <f t="shared" si="1"/>
        <v>0</v>
      </c>
    </row>
    <row r="26" spans="1:13" ht="15">
      <c r="A26" s="3" t="s">
        <v>107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>
        <f t="shared" si="1"/>
        <v>0</v>
      </c>
    </row>
    <row r="27" spans="1:13" ht="15">
      <c r="A27" s="3" t="s">
        <v>108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>
        <f t="shared" si="1"/>
        <v>0</v>
      </c>
    </row>
    <row r="28" spans="1:13" ht="15">
      <c r="A28" s="3" t="s">
        <v>109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1">
        <f t="shared" si="1"/>
        <v>0</v>
      </c>
    </row>
    <row r="29" spans="1:13" ht="15">
      <c r="A29" s="3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>
        <f t="shared" si="1"/>
        <v>0</v>
      </c>
    </row>
    <row r="30" spans="1:13" ht="15">
      <c r="A30" s="11" t="s">
        <v>110</v>
      </c>
      <c r="B30" s="118">
        <f aca="true" t="shared" si="6" ref="B30:L30">SUM(B31:B32)</f>
        <v>0</v>
      </c>
      <c r="C30" s="118">
        <f t="shared" si="6"/>
        <v>0</v>
      </c>
      <c r="D30" s="118">
        <f t="shared" si="6"/>
        <v>0</v>
      </c>
      <c r="E30" s="118">
        <f t="shared" si="6"/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>SUM(I31:I32)</f>
        <v>0</v>
      </c>
      <c r="J30" s="118">
        <f t="shared" si="6"/>
        <v>0</v>
      </c>
      <c r="K30" s="118">
        <f t="shared" si="6"/>
        <v>0</v>
      </c>
      <c r="L30" s="118">
        <f t="shared" si="6"/>
        <v>0</v>
      </c>
      <c r="M30" s="69">
        <f t="shared" si="1"/>
        <v>0</v>
      </c>
    </row>
    <row r="31" spans="1:13" ht="15">
      <c r="A31" s="3" t="s">
        <v>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>
        <f t="shared" si="1"/>
        <v>0</v>
      </c>
    </row>
    <row r="32" spans="1:13" ht="15">
      <c r="A32" s="3" t="s">
        <v>89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>
        <f t="shared" si="1"/>
        <v>0</v>
      </c>
    </row>
    <row r="33" spans="1:13" ht="15">
      <c r="A33" s="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>
        <f t="shared" si="1"/>
        <v>0</v>
      </c>
    </row>
    <row r="34" spans="1:13" ht="15">
      <c r="A34" s="11" t="s">
        <v>112</v>
      </c>
      <c r="B34" s="118">
        <f>B35</f>
        <v>0</v>
      </c>
      <c r="C34" s="118">
        <f>C35</f>
        <v>0</v>
      </c>
      <c r="D34" s="118">
        <f>D35</f>
        <v>0</v>
      </c>
      <c r="E34" s="118">
        <f>E35</f>
        <v>0</v>
      </c>
      <c r="F34" s="118">
        <f aca="true" t="shared" si="7" ref="F34:L34">F35</f>
        <v>0</v>
      </c>
      <c r="G34" s="118">
        <f t="shared" si="7"/>
        <v>0</v>
      </c>
      <c r="H34" s="118">
        <f t="shared" si="7"/>
        <v>0</v>
      </c>
      <c r="I34" s="118">
        <f t="shared" si="7"/>
        <v>0</v>
      </c>
      <c r="J34" s="118">
        <f t="shared" si="7"/>
        <v>0</v>
      </c>
      <c r="K34" s="118">
        <f t="shared" si="7"/>
        <v>0</v>
      </c>
      <c r="L34" s="118">
        <f t="shared" si="7"/>
        <v>0</v>
      </c>
      <c r="M34" s="69">
        <f t="shared" si="1"/>
        <v>0</v>
      </c>
    </row>
    <row r="35" spans="1:13" ht="15">
      <c r="A35" s="3" t="s">
        <v>113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>
        <f t="shared" si="1"/>
        <v>0</v>
      </c>
    </row>
    <row r="36" spans="1:13" ht="15">
      <c r="A36" s="3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1">
        <f t="shared" si="1"/>
        <v>0</v>
      </c>
    </row>
    <row r="37" spans="1:13" ht="15">
      <c r="A37" s="13" t="s">
        <v>114</v>
      </c>
      <c r="B37" s="74">
        <f aca="true" t="shared" si="8" ref="B37:L37">B5+B8+B16+B19+B22+B30+B34</f>
        <v>295578</v>
      </c>
      <c r="C37" s="74">
        <f t="shared" si="8"/>
        <v>476869</v>
      </c>
      <c r="D37" s="74">
        <f t="shared" si="8"/>
        <v>17546</v>
      </c>
      <c r="E37" s="74">
        <f t="shared" si="8"/>
        <v>6774</v>
      </c>
      <c r="F37" s="74">
        <f t="shared" si="8"/>
        <v>22931</v>
      </c>
      <c r="G37" s="74">
        <f t="shared" si="8"/>
        <v>81092</v>
      </c>
      <c r="H37" s="74">
        <f t="shared" si="8"/>
        <v>698</v>
      </c>
      <c r="I37" s="74">
        <f>I5+I8+I16+I19+I22+I30+I34</f>
        <v>35700</v>
      </c>
      <c r="J37" s="74">
        <f t="shared" si="8"/>
        <v>27175</v>
      </c>
      <c r="K37" s="74">
        <f t="shared" si="8"/>
        <v>156</v>
      </c>
      <c r="L37" s="74">
        <f t="shared" si="8"/>
        <v>5617</v>
      </c>
      <c r="M37" s="75">
        <f t="shared" si="1"/>
        <v>970136</v>
      </c>
    </row>
    <row r="38" spans="1:13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1">
        <f t="shared" si="1"/>
        <v>0</v>
      </c>
    </row>
    <row r="39" spans="1:13" ht="26.25">
      <c r="A39" s="13" t="s">
        <v>115</v>
      </c>
      <c r="B39" s="74">
        <f aca="true" t="shared" si="9" ref="B39:L39">B40+B43</f>
        <v>0</v>
      </c>
      <c r="C39" s="74">
        <f t="shared" si="9"/>
        <v>0</v>
      </c>
      <c r="D39" s="74">
        <f t="shared" si="9"/>
        <v>0</v>
      </c>
      <c r="E39" s="74">
        <f t="shared" si="9"/>
        <v>19418</v>
      </c>
      <c r="F39" s="74">
        <f t="shared" si="9"/>
        <v>2860</v>
      </c>
      <c r="G39" s="74">
        <f t="shared" si="9"/>
        <v>0</v>
      </c>
      <c r="H39" s="74">
        <f t="shared" si="9"/>
        <v>0</v>
      </c>
      <c r="I39" s="74">
        <f>I40+I43</f>
        <v>0</v>
      </c>
      <c r="J39" s="74">
        <f t="shared" si="9"/>
        <v>0</v>
      </c>
      <c r="K39" s="74">
        <f t="shared" si="9"/>
        <v>0</v>
      </c>
      <c r="L39" s="74">
        <f t="shared" si="9"/>
        <v>0</v>
      </c>
      <c r="M39" s="75">
        <f t="shared" si="1"/>
        <v>22278</v>
      </c>
    </row>
    <row r="40" spans="1:13" ht="26.25">
      <c r="A40" s="6" t="s">
        <v>5</v>
      </c>
      <c r="B40" s="76">
        <f>SUM(B41:B42)</f>
        <v>0</v>
      </c>
      <c r="C40" s="76">
        <f>SUM(C41:C42)</f>
        <v>0</v>
      </c>
      <c r="D40" s="76">
        <f>SUM(D41:D42)</f>
        <v>0</v>
      </c>
      <c r="E40" s="76">
        <f>SUM(E41:E42)</f>
        <v>19418</v>
      </c>
      <c r="F40" s="76">
        <f aca="true" t="shared" si="10" ref="F40:L40">SUM(F41:F42)</f>
        <v>2860</v>
      </c>
      <c r="G40" s="76">
        <f t="shared" si="10"/>
        <v>0</v>
      </c>
      <c r="H40" s="72">
        <f t="shared" si="10"/>
        <v>0</v>
      </c>
      <c r="I40" s="72">
        <f>SUM(I41:I42)</f>
        <v>0</v>
      </c>
      <c r="J40" s="72">
        <f>SUM(J41:J42)</f>
        <v>0</v>
      </c>
      <c r="K40" s="72">
        <f t="shared" si="10"/>
        <v>0</v>
      </c>
      <c r="L40" s="72">
        <f t="shared" si="10"/>
        <v>0</v>
      </c>
      <c r="M40" s="73">
        <f t="shared" si="1"/>
        <v>22278</v>
      </c>
    </row>
    <row r="41" spans="1:16" ht="15">
      <c r="A41" s="3" t="s">
        <v>6</v>
      </c>
      <c r="B41" s="70"/>
      <c r="C41" s="70"/>
      <c r="D41" s="70"/>
      <c r="E41" s="70">
        <f>16381+3037</f>
        <v>19418</v>
      </c>
      <c r="F41" s="70">
        <v>2860</v>
      </c>
      <c r="G41" s="70"/>
      <c r="H41" s="70"/>
      <c r="I41" s="70"/>
      <c r="J41" s="70"/>
      <c r="K41" s="70"/>
      <c r="L41" s="120"/>
      <c r="M41" s="71">
        <f t="shared" si="1"/>
        <v>22278</v>
      </c>
      <c r="P41" s="1"/>
    </row>
    <row r="42" spans="1:13" ht="15">
      <c r="A42" s="3" t="s">
        <v>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120"/>
      <c r="M42" s="71">
        <f t="shared" si="1"/>
        <v>0</v>
      </c>
    </row>
    <row r="43" spans="1:13" ht="15">
      <c r="A43" s="6" t="s">
        <v>8</v>
      </c>
      <c r="B43" s="72">
        <f>SUM(B44:B45)</f>
        <v>0</v>
      </c>
      <c r="C43" s="72">
        <f>SUM(C44:C45)</f>
        <v>0</v>
      </c>
      <c r="D43" s="72">
        <f>SUM(D44:D45)</f>
        <v>0</v>
      </c>
      <c r="E43" s="72">
        <f>SUM(E44:E45)</f>
        <v>0</v>
      </c>
      <c r="F43" s="72">
        <f aca="true" t="shared" si="11" ref="F43:L43">SUM(F44:F45)</f>
        <v>0</v>
      </c>
      <c r="G43" s="72">
        <f t="shared" si="11"/>
        <v>0</v>
      </c>
      <c r="H43" s="72">
        <f t="shared" si="11"/>
        <v>0</v>
      </c>
      <c r="I43" s="72">
        <f>SUM(I44:I45)</f>
        <v>0</v>
      </c>
      <c r="J43" s="72">
        <f>SUM(J44:J45)</f>
        <v>0</v>
      </c>
      <c r="K43" s="72">
        <f t="shared" si="11"/>
        <v>0</v>
      </c>
      <c r="L43" s="72">
        <f t="shared" si="11"/>
        <v>0</v>
      </c>
      <c r="M43" s="73">
        <f t="shared" si="1"/>
        <v>0</v>
      </c>
    </row>
    <row r="44" spans="1:13" ht="15">
      <c r="A44" s="3" t="s">
        <v>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120"/>
      <c r="M44" s="71">
        <f t="shared" si="1"/>
        <v>0</v>
      </c>
    </row>
    <row r="45" spans="1:13" ht="15">
      <c r="A45" s="3" t="s">
        <v>10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120"/>
      <c r="M45" s="71">
        <f t="shared" si="1"/>
        <v>0</v>
      </c>
    </row>
    <row r="46" spans="1:13" ht="15">
      <c r="A46" s="147" t="s">
        <v>137</v>
      </c>
      <c r="B46" s="74">
        <f>B47+B48</f>
        <v>0</v>
      </c>
      <c r="C46" s="74">
        <f aca="true" t="shared" si="12" ref="C46:L46">C47+C48</f>
        <v>0</v>
      </c>
      <c r="D46" s="74">
        <f t="shared" si="12"/>
        <v>0</v>
      </c>
      <c r="E46" s="74">
        <f t="shared" si="12"/>
        <v>0</v>
      </c>
      <c r="F46" s="74">
        <f t="shared" si="12"/>
        <v>0</v>
      </c>
      <c r="G46" s="74">
        <f t="shared" si="12"/>
        <v>0</v>
      </c>
      <c r="H46" s="74">
        <f t="shared" si="12"/>
        <v>0</v>
      </c>
      <c r="I46" s="74">
        <f>I47+I48</f>
        <v>0</v>
      </c>
      <c r="J46" s="74">
        <f t="shared" si="12"/>
        <v>0</v>
      </c>
      <c r="K46" s="74">
        <f t="shared" si="12"/>
        <v>0</v>
      </c>
      <c r="L46" s="74">
        <f t="shared" si="12"/>
        <v>0</v>
      </c>
      <c r="M46" s="75">
        <f t="shared" si="1"/>
        <v>0</v>
      </c>
    </row>
    <row r="47" spans="1:13" ht="15">
      <c r="A47" s="6" t="s">
        <v>138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120"/>
      <c r="M47" s="71">
        <f t="shared" si="1"/>
        <v>0</v>
      </c>
    </row>
    <row r="48" spans="1:13" ht="15">
      <c r="A48" s="6" t="s">
        <v>139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120"/>
      <c r="M48" s="71">
        <f t="shared" si="1"/>
        <v>0</v>
      </c>
    </row>
    <row r="49" spans="1:13" ht="15">
      <c r="A49" s="47" t="s">
        <v>11</v>
      </c>
      <c r="B49" s="77">
        <f>B37+B39+B46</f>
        <v>295578</v>
      </c>
      <c r="C49" s="77">
        <f aca="true" t="shared" si="13" ref="C49:L49">C37+C39+C46</f>
        <v>476869</v>
      </c>
      <c r="D49" s="77">
        <f t="shared" si="13"/>
        <v>17546</v>
      </c>
      <c r="E49" s="77">
        <f t="shared" si="13"/>
        <v>26192</v>
      </c>
      <c r="F49" s="77">
        <f t="shared" si="13"/>
        <v>25791</v>
      </c>
      <c r="G49" s="77">
        <f t="shared" si="13"/>
        <v>81092</v>
      </c>
      <c r="H49" s="77">
        <f t="shared" si="13"/>
        <v>698</v>
      </c>
      <c r="I49" s="77">
        <f>I37+I39+I46</f>
        <v>35700</v>
      </c>
      <c r="J49" s="77">
        <f t="shared" si="13"/>
        <v>27175</v>
      </c>
      <c r="K49" s="77">
        <f t="shared" si="13"/>
        <v>156</v>
      </c>
      <c r="L49" s="77">
        <f t="shared" si="13"/>
        <v>5617</v>
      </c>
      <c r="M49" s="78">
        <f>M37+M39+M46</f>
        <v>992414</v>
      </c>
    </row>
    <row r="50" spans="1:13" ht="15">
      <c r="A50" s="59" t="s">
        <v>18</v>
      </c>
      <c r="B50" s="68">
        <f>SUM(B51:B56)</f>
        <v>275153</v>
      </c>
      <c r="C50" s="68">
        <f aca="true" t="shared" si="14" ref="C50:L50">SUM(C51:C56)</f>
        <v>469570</v>
      </c>
      <c r="D50" s="68">
        <f>SUM(D51:D56)</f>
        <v>15417</v>
      </c>
      <c r="E50" s="68">
        <f t="shared" si="14"/>
        <v>9546</v>
      </c>
      <c r="F50" s="68">
        <f t="shared" si="14"/>
        <v>25791</v>
      </c>
      <c r="G50" s="68">
        <f t="shared" si="14"/>
        <v>68065</v>
      </c>
      <c r="H50" s="68">
        <f t="shared" si="14"/>
        <v>0</v>
      </c>
      <c r="I50" s="68">
        <f>SUM(I51:I56)</f>
        <v>35700</v>
      </c>
      <c r="J50" s="68">
        <f t="shared" si="14"/>
        <v>2945</v>
      </c>
      <c r="K50" s="68">
        <f t="shared" si="14"/>
        <v>156</v>
      </c>
      <c r="L50" s="68">
        <f t="shared" si="14"/>
        <v>4974</v>
      </c>
      <c r="M50" s="69">
        <f aca="true" t="shared" si="15" ref="M50:M64">SUM(B50:L50)</f>
        <v>907317</v>
      </c>
    </row>
    <row r="51" spans="1:16" ht="15">
      <c r="A51" s="39" t="s">
        <v>13</v>
      </c>
      <c r="B51" s="70"/>
      <c r="C51" s="70"/>
      <c r="D51" s="70"/>
      <c r="E51" s="70"/>
      <c r="F51" s="70">
        <v>23500</v>
      </c>
      <c r="G51" s="70">
        <v>51205</v>
      </c>
      <c r="H51" s="70"/>
      <c r="I51" s="70"/>
      <c r="J51" s="70"/>
      <c r="K51" s="70"/>
      <c r="L51" s="120"/>
      <c r="M51" s="71">
        <f t="shared" si="15"/>
        <v>74705</v>
      </c>
      <c r="P51" s="1"/>
    </row>
    <row r="52" spans="1:16" ht="15">
      <c r="A52" s="39" t="s">
        <v>14</v>
      </c>
      <c r="B52" s="70"/>
      <c r="C52" s="70"/>
      <c r="D52" s="70"/>
      <c r="E52" s="70"/>
      <c r="F52" s="70">
        <v>2291</v>
      </c>
      <c r="G52" s="70">
        <v>4993</v>
      </c>
      <c r="H52" s="70"/>
      <c r="I52" s="70"/>
      <c r="J52" s="70"/>
      <c r="K52" s="70"/>
      <c r="L52" s="120"/>
      <c r="M52" s="71">
        <f t="shared" si="15"/>
        <v>7284</v>
      </c>
      <c r="P52" s="1"/>
    </row>
    <row r="53" spans="1:16" ht="15">
      <c r="A53" s="39" t="s">
        <v>15</v>
      </c>
      <c r="B53" s="70"/>
      <c r="C53" s="70"/>
      <c r="D53" s="70">
        <v>15417</v>
      </c>
      <c r="E53" s="70">
        <f>6509+3037</f>
        <v>9546</v>
      </c>
      <c r="F53" s="70"/>
      <c r="G53" s="70">
        <f>15438-3571</f>
        <v>11867</v>
      </c>
      <c r="H53" s="70"/>
      <c r="I53" s="70">
        <v>35700</v>
      </c>
      <c r="J53" s="70">
        <v>2945</v>
      </c>
      <c r="K53" s="70">
        <v>156</v>
      </c>
      <c r="L53" s="120"/>
      <c r="M53" s="71">
        <f t="shared" si="15"/>
        <v>75631</v>
      </c>
      <c r="P53" s="1"/>
    </row>
    <row r="54" spans="1:16" ht="15">
      <c r="A54" s="53" t="s">
        <v>85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120">
        <v>4974</v>
      </c>
      <c r="M54" s="116">
        <f t="shared" si="15"/>
        <v>4974</v>
      </c>
      <c r="P54" s="1"/>
    </row>
    <row r="55" spans="1:13" ht="15">
      <c r="A55" s="39" t="s">
        <v>86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120"/>
      <c r="M55" s="71">
        <f t="shared" si="15"/>
        <v>0</v>
      </c>
    </row>
    <row r="56" spans="1:13" ht="15">
      <c r="A56" s="39" t="s">
        <v>136</v>
      </c>
      <c r="B56" s="70">
        <v>275153</v>
      </c>
      <c r="C56" s="70">
        <v>469570</v>
      </c>
      <c r="D56" s="70"/>
      <c r="E56" s="70"/>
      <c r="F56" s="70"/>
      <c r="G56" s="70"/>
      <c r="H56" s="70"/>
      <c r="I56" s="70"/>
      <c r="J56" s="70"/>
      <c r="K56" s="70"/>
      <c r="L56" s="120"/>
      <c r="M56" s="71">
        <f t="shared" si="15"/>
        <v>744723</v>
      </c>
    </row>
    <row r="57" spans="1:13" ht="15">
      <c r="A57" s="59" t="s">
        <v>23</v>
      </c>
      <c r="B57" s="68">
        <f aca="true" t="shared" si="16" ref="B57:L57">SUM(B58:B61)</f>
        <v>0</v>
      </c>
      <c r="C57" s="68">
        <f>SUM(C58:C61)</f>
        <v>0</v>
      </c>
      <c r="D57" s="68">
        <f>SUM(D58:D61)</f>
        <v>0</v>
      </c>
      <c r="E57" s="68">
        <f>SUM(E58:E61)</f>
        <v>0</v>
      </c>
      <c r="F57" s="68">
        <f t="shared" si="16"/>
        <v>0</v>
      </c>
      <c r="G57" s="68">
        <f t="shared" si="16"/>
        <v>3571</v>
      </c>
      <c r="H57" s="68">
        <f t="shared" si="16"/>
        <v>0</v>
      </c>
      <c r="I57" s="68">
        <f>SUM(I58:I61)</f>
        <v>0</v>
      </c>
      <c r="J57" s="68">
        <f t="shared" si="16"/>
        <v>0</v>
      </c>
      <c r="K57" s="68">
        <f t="shared" si="16"/>
        <v>0</v>
      </c>
      <c r="L57" s="68">
        <f t="shared" si="16"/>
        <v>0</v>
      </c>
      <c r="M57" s="69">
        <f t="shared" si="15"/>
        <v>3571</v>
      </c>
    </row>
    <row r="58" spans="1:16" ht="15">
      <c r="A58" s="16" t="s">
        <v>78</v>
      </c>
      <c r="B58" s="70"/>
      <c r="C58" s="70"/>
      <c r="D58" s="70"/>
      <c r="E58" s="70"/>
      <c r="F58" s="70"/>
      <c r="G58" s="70">
        <v>3571</v>
      </c>
      <c r="H58" s="70"/>
      <c r="I58" s="70"/>
      <c r="J58" s="70"/>
      <c r="K58" s="70"/>
      <c r="L58" s="120"/>
      <c r="M58" s="71">
        <f t="shared" si="15"/>
        <v>3571</v>
      </c>
      <c r="P58" s="1"/>
    </row>
    <row r="59" spans="1:13" ht="15">
      <c r="A59" s="16" t="s">
        <v>81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120"/>
      <c r="M59" s="71">
        <f t="shared" si="15"/>
        <v>0</v>
      </c>
    </row>
    <row r="60" spans="1:13" ht="15">
      <c r="A60" s="18" t="s">
        <v>91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120"/>
      <c r="M60" s="71">
        <f t="shared" si="15"/>
        <v>0</v>
      </c>
    </row>
    <row r="61" spans="1:13" ht="15">
      <c r="A61" s="18" t="s">
        <v>92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121"/>
      <c r="M61" s="73">
        <f t="shared" si="15"/>
        <v>0</v>
      </c>
    </row>
    <row r="62" spans="1:17" ht="15">
      <c r="A62" s="19" t="s">
        <v>83</v>
      </c>
      <c r="B62" s="68">
        <v>20425</v>
      </c>
      <c r="C62" s="68">
        <v>7024</v>
      </c>
      <c r="D62" s="68">
        <v>2116</v>
      </c>
      <c r="E62" s="68">
        <v>2670</v>
      </c>
      <c r="F62" s="68"/>
      <c r="G62" s="68"/>
      <c r="H62" s="68">
        <v>698</v>
      </c>
      <c r="I62" s="68"/>
      <c r="J62" s="68"/>
      <c r="K62" s="68"/>
      <c r="L62" s="119">
        <v>643</v>
      </c>
      <c r="M62" s="69">
        <f t="shared" si="15"/>
        <v>33576</v>
      </c>
      <c r="Q62" s="1"/>
    </row>
    <row r="63" spans="1:16" ht="15">
      <c r="A63" s="19" t="s">
        <v>84</v>
      </c>
      <c r="B63" s="68"/>
      <c r="C63" s="68">
        <v>275</v>
      </c>
      <c r="D63" s="68">
        <v>13</v>
      </c>
      <c r="E63" s="68">
        <v>13976</v>
      </c>
      <c r="F63" s="68"/>
      <c r="G63" s="68">
        <v>9456</v>
      </c>
      <c r="H63" s="68"/>
      <c r="I63" s="68"/>
      <c r="J63" s="68">
        <v>24230</v>
      </c>
      <c r="K63" s="68"/>
      <c r="L63" s="119"/>
      <c r="M63" s="69">
        <f t="shared" si="15"/>
        <v>47950</v>
      </c>
      <c r="P63" s="1"/>
    </row>
    <row r="64" spans="1:13" ht="15">
      <c r="A64" s="149" t="s">
        <v>140</v>
      </c>
      <c r="B64" s="68">
        <f>B65</f>
        <v>0</v>
      </c>
      <c r="C64" s="68">
        <f aca="true" t="shared" si="17" ref="C64:L64">C65</f>
        <v>0</v>
      </c>
      <c r="D64" s="68">
        <f t="shared" si="17"/>
        <v>0</v>
      </c>
      <c r="E64" s="68">
        <f t="shared" si="17"/>
        <v>0</v>
      </c>
      <c r="F64" s="68">
        <f t="shared" si="17"/>
        <v>0</v>
      </c>
      <c r="G64" s="68">
        <f t="shared" si="17"/>
        <v>0</v>
      </c>
      <c r="H64" s="68">
        <f t="shared" si="17"/>
        <v>0</v>
      </c>
      <c r="I64" s="68">
        <f t="shared" si="17"/>
        <v>0</v>
      </c>
      <c r="J64" s="68">
        <f t="shared" si="17"/>
        <v>0</v>
      </c>
      <c r="K64" s="68">
        <f t="shared" si="17"/>
        <v>0</v>
      </c>
      <c r="L64" s="68">
        <f t="shared" si="17"/>
        <v>0</v>
      </c>
      <c r="M64" s="69">
        <f t="shared" si="15"/>
        <v>0</v>
      </c>
    </row>
    <row r="65" spans="1:13" s="124" customFormat="1" ht="25.5">
      <c r="A65" s="156" t="s">
        <v>141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1"/>
      <c r="M65" s="116"/>
    </row>
    <row r="66" spans="1:13" ht="15">
      <c r="A66" s="79" t="s">
        <v>63</v>
      </c>
      <c r="B66" s="77">
        <f aca="true" t="shared" si="18" ref="B66:H66">B63+B62+B57+B50+B64</f>
        <v>295578</v>
      </c>
      <c r="C66" s="77">
        <f t="shared" si="18"/>
        <v>476869</v>
      </c>
      <c r="D66" s="77">
        <f t="shared" si="18"/>
        <v>17546</v>
      </c>
      <c r="E66" s="77">
        <f t="shared" si="18"/>
        <v>26192</v>
      </c>
      <c r="F66" s="77">
        <f t="shared" si="18"/>
        <v>25791</v>
      </c>
      <c r="G66" s="77">
        <f t="shared" si="18"/>
        <v>81092</v>
      </c>
      <c r="H66" s="77">
        <f t="shared" si="18"/>
        <v>698</v>
      </c>
      <c r="I66" s="77">
        <f>I63+I62+I57+I50+I64</f>
        <v>35700</v>
      </c>
      <c r="J66" s="77">
        <f>J63+J62+J57+J50+J64</f>
        <v>27175</v>
      </c>
      <c r="K66" s="77">
        <f>K63+K62+K57+K50+K64</f>
        <v>156</v>
      </c>
      <c r="L66" s="77">
        <f>L63+L62+L57+L50+L64</f>
        <v>5617</v>
      </c>
      <c r="M66" s="78">
        <f>SUM(B66:L66)</f>
        <v>992414</v>
      </c>
    </row>
    <row r="67" spans="1:13" ht="15">
      <c r="A67" s="67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120"/>
      <c r="M67" s="71">
        <f>SUM(B67:L67)</f>
        <v>0</v>
      </c>
    </row>
    <row r="68" spans="1:13" ht="15.75" thickBot="1">
      <c r="A68" s="80" t="s">
        <v>64</v>
      </c>
      <c r="B68" s="81">
        <f aca="true" t="shared" si="19" ref="B68:L68">B49-B66</f>
        <v>0</v>
      </c>
      <c r="C68" s="81">
        <f t="shared" si="19"/>
        <v>0</v>
      </c>
      <c r="D68" s="81">
        <f t="shared" si="19"/>
        <v>0</v>
      </c>
      <c r="E68" s="81">
        <f t="shared" si="19"/>
        <v>0</v>
      </c>
      <c r="F68" s="81">
        <f t="shared" si="19"/>
        <v>0</v>
      </c>
      <c r="G68" s="81">
        <f t="shared" si="19"/>
        <v>0</v>
      </c>
      <c r="H68" s="81">
        <f t="shared" si="19"/>
        <v>0</v>
      </c>
      <c r="I68" s="81">
        <f>I49-I66</f>
        <v>0</v>
      </c>
      <c r="J68" s="81">
        <f t="shared" si="19"/>
        <v>0</v>
      </c>
      <c r="K68" s="81">
        <f t="shared" si="19"/>
        <v>0</v>
      </c>
      <c r="L68" s="81">
        <f t="shared" si="19"/>
        <v>0</v>
      </c>
      <c r="M68" s="82">
        <f>SUM(B68:L68)</f>
        <v>0</v>
      </c>
    </row>
    <row r="70" ht="15">
      <c r="J70" s="1"/>
    </row>
  </sheetData>
  <sheetProtection/>
  <mergeCells count="14"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B2:J2"/>
    <mergeCell ref="M2:M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landscape" paperSize="9" scale="45" r:id="rId2"/>
  <headerFooter>
    <oddHeader>&amp;L&amp;G&amp;C.../2020 (II.19.) számú határozat
a Marcali Kistérségi Többcélú Társulás
2019. évi költségvetésének módosításáról</oddHeader>
    <oddFooter>&amp;C&amp;P</oddFooter>
  </headerFooter>
  <rowBreaks count="1" manualBreakCount="1">
    <brk id="49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S43"/>
  <sheetViews>
    <sheetView view="pageBreakPreview" zoomScale="80" zoomScaleSheetLayoutView="80" workbookViewId="0" topLeftCell="E1">
      <selection activeCell="A1" sqref="A1"/>
    </sheetView>
  </sheetViews>
  <sheetFormatPr defaultColWidth="9.140625" defaultRowHeight="15"/>
  <cols>
    <col min="1" max="1" width="42.421875" style="0" customWidth="1"/>
    <col min="2" max="9" width="14.00390625" style="0" customWidth="1"/>
    <col min="11" max="11" width="35.8515625" style="0" customWidth="1"/>
    <col min="12" max="12" width="17.00390625" style="0" customWidth="1"/>
    <col min="13" max="13" width="15.8515625" style="0" customWidth="1"/>
    <col min="14" max="14" width="17.00390625" style="0" customWidth="1"/>
    <col min="15" max="19" width="12.140625" style="0" customWidth="1"/>
  </cols>
  <sheetData>
    <row r="2" ht="15">
      <c r="A2" t="s">
        <v>130</v>
      </c>
    </row>
    <row r="3" spans="1:14" ht="15">
      <c r="A3" s="2" t="s">
        <v>145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0:19" ht="15.75" thickBot="1">
      <c r="J4" s="15"/>
      <c r="K4" s="15"/>
      <c r="L4" s="15"/>
      <c r="M4" s="15"/>
      <c r="N4" s="15"/>
      <c r="S4" s="10" t="s">
        <v>16</v>
      </c>
    </row>
    <row r="5" spans="1:19" ht="25.5" customHeight="1">
      <c r="A5" s="104" t="s">
        <v>47</v>
      </c>
      <c r="B5" s="249" t="s">
        <v>197</v>
      </c>
      <c r="C5" s="250"/>
      <c r="D5" s="250"/>
      <c r="E5" s="251"/>
      <c r="F5" s="249" t="s">
        <v>198</v>
      </c>
      <c r="G5" s="250"/>
      <c r="H5" s="250"/>
      <c r="I5" s="251"/>
      <c r="J5" s="65"/>
      <c r="K5" s="105" t="s">
        <v>48</v>
      </c>
      <c r="L5" s="249" t="s">
        <v>197</v>
      </c>
      <c r="M5" s="250"/>
      <c r="N5" s="250"/>
      <c r="O5" s="251"/>
      <c r="P5" s="249" t="s">
        <v>198</v>
      </c>
      <c r="Q5" s="250"/>
      <c r="R5" s="250"/>
      <c r="S5" s="251"/>
    </row>
    <row r="6" spans="1:19" ht="38.25">
      <c r="A6" s="130"/>
      <c r="B6" s="131" t="s">
        <v>0</v>
      </c>
      <c r="C6" s="131" t="s">
        <v>134</v>
      </c>
      <c r="D6" s="131" t="s">
        <v>133</v>
      </c>
      <c r="E6" s="131" t="s">
        <v>120</v>
      </c>
      <c r="F6" s="131" t="s">
        <v>0</v>
      </c>
      <c r="G6" s="131" t="s">
        <v>134</v>
      </c>
      <c r="H6" s="131" t="s">
        <v>133</v>
      </c>
      <c r="I6" s="131" t="s">
        <v>120</v>
      </c>
      <c r="J6" s="132"/>
      <c r="K6" s="133"/>
      <c r="L6" s="134" t="s">
        <v>0</v>
      </c>
      <c r="M6" s="131" t="s">
        <v>134</v>
      </c>
      <c r="N6" s="134" t="s">
        <v>133</v>
      </c>
      <c r="O6" s="135" t="s">
        <v>135</v>
      </c>
      <c r="P6" s="134" t="s">
        <v>0</v>
      </c>
      <c r="Q6" s="134" t="s">
        <v>134</v>
      </c>
      <c r="R6" s="134" t="s">
        <v>133</v>
      </c>
      <c r="S6" s="135" t="s">
        <v>120</v>
      </c>
    </row>
    <row r="7" spans="1:19" ht="15">
      <c r="A7" s="9" t="s">
        <v>49</v>
      </c>
      <c r="B7" s="4">
        <f>'1.sz.Bevételi források'!D5</f>
        <v>55598</v>
      </c>
      <c r="C7" s="4">
        <f aca="true" t="shared" si="0" ref="C7:C12">B7-D7</f>
        <v>52321</v>
      </c>
      <c r="D7" s="4">
        <v>3277</v>
      </c>
      <c r="E7" s="4"/>
      <c r="F7" s="4">
        <f>'1.sz.Bevételi források'!E5</f>
        <v>55598</v>
      </c>
      <c r="G7" s="4">
        <f aca="true" t="shared" si="1" ref="G7:G12">F7-H7</f>
        <v>52321</v>
      </c>
      <c r="H7" s="4">
        <v>3277</v>
      </c>
      <c r="I7" s="4"/>
      <c r="J7" s="66"/>
      <c r="K7" s="16" t="s">
        <v>54</v>
      </c>
      <c r="L7" s="4">
        <f>'2.szKiadás kiemelt jogcímenként'!D5</f>
        <v>258702</v>
      </c>
      <c r="M7" s="4">
        <f aca="true" t="shared" si="2" ref="M7:M19">L7-N7</f>
        <v>211456</v>
      </c>
      <c r="N7" s="4">
        <v>47246</v>
      </c>
      <c r="O7" s="136"/>
      <c r="P7" s="167">
        <f>'2.szKiadás kiemelt jogcímenként'!E5</f>
        <v>246692</v>
      </c>
      <c r="Q7" s="4">
        <f aca="true" t="shared" si="3" ref="Q7:Q12">P7-R7</f>
        <v>200446</v>
      </c>
      <c r="R7" s="4">
        <v>46246</v>
      </c>
      <c r="S7" s="180"/>
    </row>
    <row r="8" spans="1:19" ht="15">
      <c r="A8" s="9" t="s">
        <v>123</v>
      </c>
      <c r="B8" s="4">
        <f>'1.sz.Bevételi források'!D8</f>
        <v>62475</v>
      </c>
      <c r="C8" s="4">
        <f t="shared" si="0"/>
        <v>27564</v>
      </c>
      <c r="D8" s="4">
        <v>34911</v>
      </c>
      <c r="E8" s="4"/>
      <c r="F8" s="4">
        <f>'1.sz.Bevételi források'!E8</f>
        <v>38125</v>
      </c>
      <c r="G8" s="4">
        <f t="shared" si="1"/>
        <v>29960</v>
      </c>
      <c r="H8" s="4">
        <v>8165</v>
      </c>
      <c r="I8" s="4"/>
      <c r="J8" s="66"/>
      <c r="K8" s="16" t="s">
        <v>55</v>
      </c>
      <c r="L8" s="4">
        <f>'2.szKiadás kiemelt jogcímenként'!D6</f>
        <v>51174</v>
      </c>
      <c r="M8" s="4">
        <f t="shared" si="2"/>
        <v>42538</v>
      </c>
      <c r="N8" s="4">
        <v>8636</v>
      </c>
      <c r="O8" s="136"/>
      <c r="P8" s="167">
        <f>'2.szKiadás kiemelt jogcímenként'!E6</f>
        <v>49063</v>
      </c>
      <c r="Q8" s="4">
        <f t="shared" si="3"/>
        <v>40602</v>
      </c>
      <c r="R8" s="4">
        <v>8461</v>
      </c>
      <c r="S8" s="180"/>
    </row>
    <row r="9" spans="1:19" ht="15">
      <c r="A9" s="9" t="s">
        <v>50</v>
      </c>
      <c r="B9" s="4">
        <f>'1.sz.Bevételi források'!D16</f>
        <v>0</v>
      </c>
      <c r="C9" s="4">
        <f t="shared" si="0"/>
        <v>0</v>
      </c>
      <c r="D9" s="4"/>
      <c r="E9" s="4"/>
      <c r="F9" s="4">
        <f>'1.sz.Bevételi források'!E16</f>
        <v>0</v>
      </c>
      <c r="G9" s="4">
        <f t="shared" si="1"/>
        <v>0</v>
      </c>
      <c r="H9" s="4"/>
      <c r="I9" s="4"/>
      <c r="J9" s="66"/>
      <c r="K9" s="16" t="s">
        <v>56</v>
      </c>
      <c r="L9" s="4">
        <f>'2.szKiadás kiemelt jogcímenként'!D7</f>
        <v>125179</v>
      </c>
      <c r="M9" s="4">
        <f t="shared" si="2"/>
        <v>78615</v>
      </c>
      <c r="N9" s="4">
        <v>46564</v>
      </c>
      <c r="O9" s="136"/>
      <c r="P9" s="167">
        <f>'2.szKiadás kiemelt jogcímenként'!E7</f>
        <v>96648</v>
      </c>
      <c r="Q9" s="4">
        <f t="shared" si="3"/>
        <v>76215</v>
      </c>
      <c r="R9" s="4">
        <v>20433</v>
      </c>
      <c r="S9" s="180"/>
    </row>
    <row r="10" spans="1:19" ht="25.5">
      <c r="A10" s="9" t="s">
        <v>51</v>
      </c>
      <c r="B10" s="62">
        <v>287156</v>
      </c>
      <c r="C10" s="4">
        <f t="shared" si="0"/>
        <v>252974</v>
      </c>
      <c r="D10" s="62">
        <v>34182</v>
      </c>
      <c r="E10" s="62"/>
      <c r="F10" s="62">
        <f>B10-12003</f>
        <v>275153</v>
      </c>
      <c r="G10" s="4">
        <f t="shared" si="1"/>
        <v>240971</v>
      </c>
      <c r="H10" s="62">
        <v>34182</v>
      </c>
      <c r="I10" s="62"/>
      <c r="J10" s="66"/>
      <c r="K10" s="17" t="s">
        <v>60</v>
      </c>
      <c r="L10" s="4">
        <f>'2.szKiadás kiemelt jogcímenként'!D9</f>
        <v>0</v>
      </c>
      <c r="M10" s="4">
        <f t="shared" si="2"/>
        <v>0</v>
      </c>
      <c r="N10" s="4">
        <v>0</v>
      </c>
      <c r="O10" s="136"/>
      <c r="P10" s="167">
        <f>'2.szKiadás kiemelt jogcímenként'!D9</f>
        <v>0</v>
      </c>
      <c r="Q10" s="4">
        <f t="shared" si="3"/>
        <v>0</v>
      </c>
      <c r="R10" s="179">
        <v>0</v>
      </c>
      <c r="S10" s="180"/>
    </row>
    <row r="11" spans="1:19" ht="15">
      <c r="A11" s="9" t="s">
        <v>124</v>
      </c>
      <c r="B11" s="4">
        <f>'1.sz.Bevételi források'!D19</f>
        <v>0</v>
      </c>
      <c r="C11" s="4">
        <f t="shared" si="0"/>
        <v>0</v>
      </c>
      <c r="D11" s="4"/>
      <c r="E11" s="4"/>
      <c r="F11" s="4">
        <f>'1.sz.Bevételi források'!E19</f>
        <v>0</v>
      </c>
      <c r="G11" s="4">
        <f t="shared" si="1"/>
        <v>0</v>
      </c>
      <c r="H11" s="4"/>
      <c r="I11" s="4"/>
      <c r="J11" s="66"/>
      <c r="K11" s="16" t="s">
        <v>57</v>
      </c>
      <c r="L11" s="4">
        <f>'2.szKiadás kiemelt jogcímenként'!D10</f>
        <v>0</v>
      </c>
      <c r="M11" s="4">
        <f t="shared" si="2"/>
        <v>0</v>
      </c>
      <c r="N11" s="4">
        <v>0</v>
      </c>
      <c r="O11" s="136"/>
      <c r="P11" s="167">
        <f>'2.szKiadás kiemelt jogcímenként'!D10</f>
        <v>0</v>
      </c>
      <c r="Q11" s="4">
        <f t="shared" si="3"/>
        <v>0</v>
      </c>
      <c r="R11" s="179">
        <v>0</v>
      </c>
      <c r="S11" s="180"/>
    </row>
    <row r="12" spans="1:19" ht="15">
      <c r="A12" s="9"/>
      <c r="B12" s="4"/>
      <c r="C12" s="4">
        <f t="shared" si="0"/>
        <v>0</v>
      </c>
      <c r="D12" s="4"/>
      <c r="E12" s="4"/>
      <c r="F12" s="4"/>
      <c r="G12" s="4">
        <f t="shared" si="1"/>
        <v>0</v>
      </c>
      <c r="H12" s="4"/>
      <c r="I12" s="4"/>
      <c r="J12" s="66"/>
      <c r="K12" s="16" t="s">
        <v>65</v>
      </c>
      <c r="L12" s="4">
        <f>'2.szKiadás kiemelt jogcímenként'!D11</f>
        <v>250</v>
      </c>
      <c r="M12" s="4">
        <f t="shared" si="2"/>
        <v>250</v>
      </c>
      <c r="N12" s="4">
        <v>0</v>
      </c>
      <c r="O12" s="136"/>
      <c r="P12" s="167">
        <f>'2.szKiadás kiemelt jogcímenként'!D11</f>
        <v>250</v>
      </c>
      <c r="Q12" s="4">
        <f t="shared" si="3"/>
        <v>250</v>
      </c>
      <c r="R12" s="179">
        <v>0</v>
      </c>
      <c r="S12" s="180"/>
    </row>
    <row r="13" spans="1:19" ht="15">
      <c r="A13" s="138" t="s">
        <v>17</v>
      </c>
      <c r="B13" s="140">
        <f aca="true" t="shared" si="4" ref="B13:I13">SUM(B7:B12)</f>
        <v>405229</v>
      </c>
      <c r="C13" s="140">
        <f t="shared" si="4"/>
        <v>332859</v>
      </c>
      <c r="D13" s="140">
        <f t="shared" si="4"/>
        <v>72370</v>
      </c>
      <c r="E13" s="140">
        <f t="shared" si="4"/>
        <v>0</v>
      </c>
      <c r="F13" s="140">
        <f t="shared" si="4"/>
        <v>368876</v>
      </c>
      <c r="G13" s="140">
        <f t="shared" si="4"/>
        <v>323252</v>
      </c>
      <c r="H13" s="140">
        <f t="shared" si="4"/>
        <v>45624</v>
      </c>
      <c r="I13" s="140">
        <f t="shared" si="4"/>
        <v>0</v>
      </c>
      <c r="J13" s="66"/>
      <c r="K13" s="139" t="s">
        <v>19</v>
      </c>
      <c r="L13" s="140">
        <f aca="true" t="shared" si="5" ref="L13:S13">SUM(L7:L12)</f>
        <v>435305</v>
      </c>
      <c r="M13" s="140">
        <f t="shared" si="5"/>
        <v>332859</v>
      </c>
      <c r="N13" s="140">
        <f t="shared" si="5"/>
        <v>102446</v>
      </c>
      <c r="O13" s="173">
        <f t="shared" si="5"/>
        <v>0</v>
      </c>
      <c r="P13" s="172">
        <f t="shared" si="5"/>
        <v>392653</v>
      </c>
      <c r="Q13" s="140">
        <f t="shared" si="5"/>
        <v>317513</v>
      </c>
      <c r="R13" s="140">
        <f t="shared" si="5"/>
        <v>75140</v>
      </c>
      <c r="S13" s="173">
        <f t="shared" si="5"/>
        <v>0</v>
      </c>
    </row>
    <row r="14" spans="1:19" ht="25.5">
      <c r="A14" s="9" t="s">
        <v>125</v>
      </c>
      <c r="B14" s="4">
        <f>'1.sz.Bevételi források'!D22</f>
        <v>0</v>
      </c>
      <c r="C14" s="4"/>
      <c r="D14" s="4"/>
      <c r="E14" s="4"/>
      <c r="F14" s="4">
        <f>'1.sz.Bevételi források'!E22</f>
        <v>0</v>
      </c>
      <c r="G14" s="4"/>
      <c r="H14" s="4"/>
      <c r="I14" s="4"/>
      <c r="J14" s="66"/>
      <c r="K14" s="63" t="s">
        <v>59</v>
      </c>
      <c r="L14" s="4">
        <f>'2.szKiadás kiemelt jogcímenként'!D18</f>
        <v>0</v>
      </c>
      <c r="M14" s="4">
        <f t="shared" si="2"/>
        <v>0</v>
      </c>
      <c r="N14" s="4"/>
      <c r="O14" s="136"/>
      <c r="P14" s="167">
        <f>'2.szKiadás kiemelt jogcímenként'!E18</f>
        <v>0</v>
      </c>
      <c r="Q14" s="4">
        <f>P14-R14</f>
        <v>0</v>
      </c>
      <c r="R14" s="179">
        <v>0</v>
      </c>
      <c r="S14" s="180"/>
    </row>
    <row r="15" spans="1:19" ht="15">
      <c r="A15" s="9" t="s">
        <v>126</v>
      </c>
      <c r="B15" s="4">
        <f>'1.sz.Bevételi források'!D30</f>
        <v>0</v>
      </c>
      <c r="C15" s="4"/>
      <c r="D15" s="4"/>
      <c r="E15" s="4"/>
      <c r="F15" s="4">
        <f>'1.sz.Bevételi források'!E30</f>
        <v>0</v>
      </c>
      <c r="G15" s="4"/>
      <c r="H15" s="4"/>
      <c r="I15" s="4"/>
      <c r="J15" s="66"/>
      <c r="K15" s="63" t="s">
        <v>58</v>
      </c>
      <c r="L15" s="4">
        <f>'2.szKiadás kiemelt jogcímenként'!D17</f>
        <v>0</v>
      </c>
      <c r="M15" s="4">
        <f t="shared" si="2"/>
        <v>0</v>
      </c>
      <c r="N15" s="4"/>
      <c r="O15" s="136"/>
      <c r="P15" s="167">
        <f>'2.szKiadás kiemelt jogcímenként'!E17</f>
        <v>0</v>
      </c>
      <c r="Q15" s="4">
        <f>P15-R15</f>
        <v>0</v>
      </c>
      <c r="R15" s="179">
        <v>0</v>
      </c>
      <c r="S15" s="180"/>
    </row>
    <row r="16" spans="1:19" ht="15">
      <c r="A16" s="9" t="s">
        <v>52</v>
      </c>
      <c r="B16" s="4">
        <f>'1.sz.Bevételi források'!D34</f>
        <v>0</v>
      </c>
      <c r="C16" s="4"/>
      <c r="D16" s="4"/>
      <c r="E16" s="4"/>
      <c r="F16" s="4">
        <f>'1.sz.Bevételi források'!E34</f>
        <v>0</v>
      </c>
      <c r="G16" s="4"/>
      <c r="H16" s="4"/>
      <c r="I16" s="4"/>
      <c r="J16" s="66"/>
      <c r="K16" s="63" t="s">
        <v>61</v>
      </c>
      <c r="L16" s="4">
        <f>'2.szKiadás kiemelt jogcímenként'!D14</f>
        <v>0</v>
      </c>
      <c r="M16" s="4">
        <f t="shared" si="2"/>
        <v>0</v>
      </c>
      <c r="N16" s="4"/>
      <c r="O16" s="136"/>
      <c r="P16" s="167">
        <f>'2.szKiadás kiemelt jogcímenként'!E14</f>
        <v>6400</v>
      </c>
      <c r="Q16" s="4">
        <f>P16-R16</f>
        <v>6400</v>
      </c>
      <c r="R16" s="179">
        <v>0</v>
      </c>
      <c r="S16" s="180"/>
    </row>
    <row r="17" spans="1:19" ht="15">
      <c r="A17" s="9"/>
      <c r="B17" s="4"/>
      <c r="C17" s="4"/>
      <c r="D17" s="4"/>
      <c r="E17" s="4"/>
      <c r="F17" s="4"/>
      <c r="G17" s="4"/>
      <c r="H17" s="4"/>
      <c r="I17" s="4"/>
      <c r="J17" s="66"/>
      <c r="K17" s="63" t="s">
        <v>62</v>
      </c>
      <c r="L17" s="4">
        <f>'2.szKiadás kiemelt jogcímenként'!D15</f>
        <v>0</v>
      </c>
      <c r="M17" s="4">
        <f t="shared" si="2"/>
        <v>0</v>
      </c>
      <c r="N17" s="4"/>
      <c r="O17" s="136"/>
      <c r="P17" s="167">
        <f>'2.szKiadás kiemelt jogcímenként'!E15</f>
        <v>0</v>
      </c>
      <c r="Q17" s="4">
        <f>P17-R17</f>
        <v>0</v>
      </c>
      <c r="R17" s="179">
        <v>0</v>
      </c>
      <c r="S17" s="180"/>
    </row>
    <row r="18" spans="1:19" ht="15">
      <c r="A18" s="138" t="s">
        <v>22</v>
      </c>
      <c r="B18" s="140">
        <f aca="true" t="shared" si="6" ref="B18:I18">SUM(B14:B17)</f>
        <v>0</v>
      </c>
      <c r="C18" s="140">
        <f t="shared" si="6"/>
        <v>0</v>
      </c>
      <c r="D18" s="140">
        <f t="shared" si="6"/>
        <v>0</v>
      </c>
      <c r="E18" s="140">
        <f t="shared" si="6"/>
        <v>0</v>
      </c>
      <c r="F18" s="140">
        <f t="shared" si="6"/>
        <v>0</v>
      </c>
      <c r="G18" s="140">
        <f t="shared" si="6"/>
        <v>0</v>
      </c>
      <c r="H18" s="140">
        <f t="shared" si="6"/>
        <v>0</v>
      </c>
      <c r="I18" s="140">
        <f t="shared" si="6"/>
        <v>0</v>
      </c>
      <c r="J18" s="66"/>
      <c r="K18" s="139" t="s">
        <v>69</v>
      </c>
      <c r="L18" s="140">
        <f aca="true" t="shared" si="7" ref="L18:S18">SUM(L14:L17)</f>
        <v>0</v>
      </c>
      <c r="M18" s="140">
        <f t="shared" si="7"/>
        <v>0</v>
      </c>
      <c r="N18" s="140">
        <f t="shared" si="7"/>
        <v>0</v>
      </c>
      <c r="O18" s="173">
        <f t="shared" si="7"/>
        <v>0</v>
      </c>
      <c r="P18" s="140">
        <f t="shared" si="7"/>
        <v>6400</v>
      </c>
      <c r="Q18" s="140">
        <f t="shared" si="7"/>
        <v>6400</v>
      </c>
      <c r="R18" s="172">
        <f t="shared" si="7"/>
        <v>0</v>
      </c>
      <c r="S18" s="173">
        <f t="shared" si="7"/>
        <v>0</v>
      </c>
    </row>
    <row r="19" spans="1:19" ht="15">
      <c r="A19" s="9" t="s">
        <v>53</v>
      </c>
      <c r="B19" s="4">
        <f>'1.sz.Bevételi források'!D39</f>
        <v>105705</v>
      </c>
      <c r="C19" s="4">
        <f>B19-D19</f>
        <v>0</v>
      </c>
      <c r="D19" s="141">
        <v>105705</v>
      </c>
      <c r="E19" s="141"/>
      <c r="F19" s="146">
        <f>'1.sz.Bevételi források'!E39</f>
        <v>105806</v>
      </c>
      <c r="G19" s="4">
        <f>F19-H19</f>
        <v>101</v>
      </c>
      <c r="H19" s="141">
        <v>105705</v>
      </c>
      <c r="I19" s="141"/>
      <c r="J19" s="142"/>
      <c r="K19" s="143" t="s">
        <v>149</v>
      </c>
      <c r="L19" s="144">
        <f>'2.szKiadás kiemelt jogcímenként'!D20</f>
        <v>75629</v>
      </c>
      <c r="M19" s="4">
        <f t="shared" si="2"/>
        <v>0</v>
      </c>
      <c r="N19" s="144">
        <v>75629</v>
      </c>
      <c r="O19" s="177"/>
      <c r="P19" s="174">
        <f>'2.szKiadás kiemelt jogcímenként'!E20</f>
        <v>75629</v>
      </c>
      <c r="Q19" s="4">
        <f>P19-R19</f>
        <v>0</v>
      </c>
      <c r="R19" s="175">
        <v>75629</v>
      </c>
      <c r="S19" s="176"/>
    </row>
    <row r="20" spans="1:19" ht="15.75" thickBot="1">
      <c r="A20" s="42" t="s">
        <v>12</v>
      </c>
      <c r="B20" s="43">
        <f aca="true" t="shared" si="8" ref="B20:I20">SUM(B7:B18)-B13-B18+B19</f>
        <v>510934</v>
      </c>
      <c r="C20" s="43">
        <f t="shared" si="8"/>
        <v>332859</v>
      </c>
      <c r="D20" s="43">
        <f t="shared" si="8"/>
        <v>178075</v>
      </c>
      <c r="E20" s="43">
        <f t="shared" si="8"/>
        <v>0</v>
      </c>
      <c r="F20" s="43">
        <f t="shared" si="8"/>
        <v>474682</v>
      </c>
      <c r="G20" s="43">
        <f t="shared" si="8"/>
        <v>323353</v>
      </c>
      <c r="H20" s="43">
        <f t="shared" si="8"/>
        <v>151329</v>
      </c>
      <c r="I20" s="43">
        <f t="shared" si="8"/>
        <v>0</v>
      </c>
      <c r="J20" s="64"/>
      <c r="K20" s="45" t="s">
        <v>12</v>
      </c>
      <c r="L20" s="43">
        <f>SUM(L7:L18)-L13-L18+L19</f>
        <v>510934</v>
      </c>
      <c r="M20" s="43">
        <f>SUM(M7:M18)-M13-M18+M19</f>
        <v>332859</v>
      </c>
      <c r="N20" s="43">
        <f>SUM(N7:N18)-N13-N18+N19</f>
        <v>178075</v>
      </c>
      <c r="O20" s="44">
        <f>SUM(O7:O18)-O13-O18</f>
        <v>0</v>
      </c>
      <c r="P20" s="43">
        <f>SUM(P7:P18)-P13-P18+P19</f>
        <v>474682</v>
      </c>
      <c r="Q20" s="43">
        <f>SUM(Q7:Q18)-Q13-Q18+Q19</f>
        <v>323913</v>
      </c>
      <c r="R20" s="43">
        <f>SUM(R7:R18)-R13-R18+R19</f>
        <v>150769</v>
      </c>
      <c r="S20" s="44">
        <f>SUM(S7:S18)-S13-S18</f>
        <v>0</v>
      </c>
    </row>
    <row r="22" ht="15">
      <c r="L22" s="1"/>
    </row>
    <row r="23" spans="1:14" ht="15">
      <c r="A23" s="2" t="s">
        <v>146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0:14" ht="15.75" thickBot="1">
      <c r="J24" s="15"/>
      <c r="K24" s="15"/>
      <c r="L24" s="15"/>
      <c r="M24" s="15"/>
      <c r="N24" s="15"/>
    </row>
    <row r="25" spans="1:19" ht="14.25" customHeight="1">
      <c r="A25" s="104" t="s">
        <v>47</v>
      </c>
      <c r="B25" s="249" t="s">
        <v>197</v>
      </c>
      <c r="C25" s="250"/>
      <c r="D25" s="250"/>
      <c r="E25" s="251"/>
      <c r="F25" s="249" t="s">
        <v>198</v>
      </c>
      <c r="G25" s="250"/>
      <c r="H25" s="250"/>
      <c r="I25" s="251"/>
      <c r="J25" s="65"/>
      <c r="K25" s="55" t="s">
        <v>48</v>
      </c>
      <c r="L25" s="249" t="s">
        <v>197</v>
      </c>
      <c r="M25" s="250"/>
      <c r="N25" s="250"/>
      <c r="O25" s="251"/>
      <c r="P25" s="249" t="s">
        <v>198</v>
      </c>
      <c r="Q25" s="250"/>
      <c r="R25" s="250"/>
      <c r="S25" s="251"/>
    </row>
    <row r="26" spans="1:19" ht="25.5">
      <c r="A26" s="130"/>
      <c r="B26" s="131" t="s">
        <v>0</v>
      </c>
      <c r="C26" s="131" t="s">
        <v>134</v>
      </c>
      <c r="D26" s="131" t="s">
        <v>133</v>
      </c>
      <c r="E26" s="131" t="s">
        <v>120</v>
      </c>
      <c r="F26" s="131" t="s">
        <v>0</v>
      </c>
      <c r="G26" s="131" t="s">
        <v>134</v>
      </c>
      <c r="H26" s="131" t="s">
        <v>133</v>
      </c>
      <c r="I26" s="131" t="s">
        <v>120</v>
      </c>
      <c r="J26" s="132"/>
      <c r="K26" s="137"/>
      <c r="L26" s="134" t="s">
        <v>0</v>
      </c>
      <c r="M26" s="131" t="s">
        <v>134</v>
      </c>
      <c r="N26" s="134" t="s">
        <v>133</v>
      </c>
      <c r="O26" s="135" t="s">
        <v>120</v>
      </c>
      <c r="P26" s="134" t="s">
        <v>0</v>
      </c>
      <c r="Q26" s="134" t="s">
        <v>134</v>
      </c>
      <c r="R26" s="134" t="s">
        <v>133</v>
      </c>
      <c r="S26" s="135" t="s">
        <v>120</v>
      </c>
    </row>
    <row r="27" spans="1:19" ht="15">
      <c r="A27" s="9" t="s">
        <v>49</v>
      </c>
      <c r="B27" s="4">
        <f>'1.sz.Bevételi források'!F5</f>
        <v>79776</v>
      </c>
      <c r="C27" s="4">
        <f>B27-D27</f>
        <v>57437</v>
      </c>
      <c r="D27" s="4">
        <v>22339</v>
      </c>
      <c r="E27" s="4"/>
      <c r="F27" s="4">
        <f>'1.sz.Bevételi források'!G5</f>
        <v>72773</v>
      </c>
      <c r="G27" s="4">
        <f>F27-H27</f>
        <v>72773</v>
      </c>
      <c r="H27" s="4"/>
      <c r="I27" s="4"/>
      <c r="J27" s="66"/>
      <c r="K27" s="16" t="s">
        <v>54</v>
      </c>
      <c r="L27" s="4">
        <f>'2.szKiadás kiemelt jogcímenként'!F5</f>
        <v>314649</v>
      </c>
      <c r="M27" s="4">
        <f>L27-N27</f>
        <v>305957</v>
      </c>
      <c r="N27" s="4">
        <v>8692</v>
      </c>
      <c r="O27" s="136"/>
      <c r="P27" s="167">
        <f>'2.szKiadás kiemelt jogcímenként'!G5</f>
        <v>314649</v>
      </c>
      <c r="Q27" s="4">
        <f>P27-R27</f>
        <v>309149</v>
      </c>
      <c r="R27" s="4">
        <v>5500</v>
      </c>
      <c r="S27" s="180"/>
    </row>
    <row r="28" spans="1:19" ht="15">
      <c r="A28" s="9" t="s">
        <v>123</v>
      </c>
      <c r="B28" s="4">
        <f>'1.sz.Bevételi források'!F8</f>
        <v>0</v>
      </c>
      <c r="C28" s="4">
        <f>B28-D28</f>
        <v>0</v>
      </c>
      <c r="D28" s="4"/>
      <c r="E28" s="4"/>
      <c r="F28" s="4">
        <f>'1.sz.Bevételi források'!G8</f>
        <v>450</v>
      </c>
      <c r="G28" s="4">
        <f>F28-H28</f>
        <v>450</v>
      </c>
      <c r="H28" s="4"/>
      <c r="I28" s="4"/>
      <c r="J28" s="66"/>
      <c r="K28" s="16" t="s">
        <v>55</v>
      </c>
      <c r="L28" s="4">
        <f>'2.szKiadás kiemelt jogcímenként'!F6</f>
        <v>67679</v>
      </c>
      <c r="M28" s="4">
        <f aca="true" t="shared" si="9" ref="M28:M39">L28-N28</f>
        <v>65984</v>
      </c>
      <c r="N28" s="4">
        <v>1695</v>
      </c>
      <c r="O28" s="136"/>
      <c r="P28" s="167">
        <f>'2.szKiadás kiemelt jogcímenként'!G6</f>
        <v>67679</v>
      </c>
      <c r="Q28" s="4">
        <f aca="true" t="shared" si="10" ref="Q28:Q39">P28-R28</f>
        <v>66553</v>
      </c>
      <c r="R28" s="4">
        <f>1034+92</f>
        <v>1126</v>
      </c>
      <c r="S28" s="180"/>
    </row>
    <row r="29" spans="1:19" ht="15">
      <c r="A29" s="9" t="s">
        <v>50</v>
      </c>
      <c r="B29" s="4">
        <f>'1.sz.Bevételi források'!F16</f>
        <v>0</v>
      </c>
      <c r="C29" s="4">
        <f>B29-D29</f>
        <v>0</v>
      </c>
      <c r="D29" s="4"/>
      <c r="E29" s="4"/>
      <c r="F29" s="4">
        <f>'1.sz.Bevételi források'!G16</f>
        <v>200</v>
      </c>
      <c r="G29" s="4">
        <f>F29-H29</f>
        <v>200</v>
      </c>
      <c r="H29" s="4"/>
      <c r="I29" s="4"/>
      <c r="J29" s="66"/>
      <c r="K29" s="16" t="s">
        <v>56</v>
      </c>
      <c r="L29" s="4">
        <f>'2.szKiadás kiemelt jogcímenként'!F7</f>
        <v>173086</v>
      </c>
      <c r="M29" s="4">
        <f t="shared" si="9"/>
        <v>164294</v>
      </c>
      <c r="N29" s="4">
        <v>8792</v>
      </c>
      <c r="O29" s="136"/>
      <c r="P29" s="167">
        <f>'2.szKiadás kiemelt jogcímenként'!G7</f>
        <v>178278</v>
      </c>
      <c r="Q29" s="4">
        <f t="shared" si="10"/>
        <v>169486</v>
      </c>
      <c r="R29" s="4">
        <v>8792</v>
      </c>
      <c r="S29" s="180"/>
    </row>
    <row r="30" spans="1:19" ht="25.5">
      <c r="A30" s="9" t="s">
        <v>51</v>
      </c>
      <c r="B30" s="62">
        <v>457567</v>
      </c>
      <c r="C30" s="4">
        <f>B30-D30</f>
        <v>457567</v>
      </c>
      <c r="D30" s="62"/>
      <c r="E30" s="62"/>
      <c r="F30" s="62">
        <v>469570</v>
      </c>
      <c r="G30" s="4">
        <f>F30-H30</f>
        <v>469570</v>
      </c>
      <c r="H30" s="62"/>
      <c r="I30" s="62"/>
      <c r="J30" s="66"/>
      <c r="K30" s="17" t="s">
        <v>60</v>
      </c>
      <c r="L30" s="4">
        <f>'2.szKiadás kiemelt jogcímenként'!F9</f>
        <v>0</v>
      </c>
      <c r="M30" s="4">
        <f t="shared" si="9"/>
        <v>0</v>
      </c>
      <c r="N30" s="4"/>
      <c r="O30" s="136"/>
      <c r="P30" s="167">
        <f>'2.szKiadás kiemelt jogcímenként'!G9</f>
        <v>0</v>
      </c>
      <c r="Q30" s="4">
        <f t="shared" si="10"/>
        <v>0</v>
      </c>
      <c r="R30" s="179"/>
      <c r="S30" s="180"/>
    </row>
    <row r="31" spans="1:19" ht="15">
      <c r="A31" s="9" t="s">
        <v>124</v>
      </c>
      <c r="B31" s="4">
        <f>'1.sz.Bevételi források'!F19</f>
        <v>0</v>
      </c>
      <c r="C31" s="4">
        <f>B31-D31</f>
        <v>0</v>
      </c>
      <c r="D31" s="4"/>
      <c r="E31" s="4"/>
      <c r="F31" s="4">
        <f>'1.sz.Bevételi források'!G19</f>
        <v>0</v>
      </c>
      <c r="G31" s="4">
        <f>F31-H31</f>
        <v>0</v>
      </c>
      <c r="H31" s="4"/>
      <c r="I31" s="4"/>
      <c r="J31" s="66"/>
      <c r="K31" s="16" t="s">
        <v>57</v>
      </c>
      <c r="L31" s="4">
        <f>'2.szKiadás kiemelt jogcímenként'!F10</f>
        <v>0</v>
      </c>
      <c r="M31" s="4">
        <f t="shared" si="9"/>
        <v>0</v>
      </c>
      <c r="N31" s="4"/>
      <c r="O31" s="136"/>
      <c r="P31" s="167">
        <f>'2.szKiadás kiemelt jogcímenként'!G10</f>
        <v>0</v>
      </c>
      <c r="Q31" s="4">
        <f t="shared" si="10"/>
        <v>0</v>
      </c>
      <c r="R31" s="179"/>
      <c r="S31" s="180"/>
    </row>
    <row r="32" spans="1:19" ht="15">
      <c r="A32" s="9"/>
      <c r="B32" s="4"/>
      <c r="C32" s="4"/>
      <c r="D32" s="4"/>
      <c r="E32" s="4"/>
      <c r="F32" s="4"/>
      <c r="G32" s="4"/>
      <c r="H32" s="4"/>
      <c r="I32" s="4"/>
      <c r="J32" s="66"/>
      <c r="K32" s="16" t="s">
        <v>65</v>
      </c>
      <c r="L32" s="4">
        <f>'2.szKiadás kiemelt jogcímenként'!F11</f>
        <v>0</v>
      </c>
      <c r="M32" s="4">
        <f t="shared" si="9"/>
        <v>0</v>
      </c>
      <c r="N32" s="4"/>
      <c r="O32" s="136"/>
      <c r="P32" s="167">
        <f>'2.szKiadás kiemelt jogcímenként'!G11</f>
        <v>0</v>
      </c>
      <c r="Q32" s="4">
        <f t="shared" si="10"/>
        <v>0</v>
      </c>
      <c r="R32" s="179"/>
      <c r="S32" s="180"/>
    </row>
    <row r="33" spans="1:19" ht="15">
      <c r="A33" s="138" t="s">
        <v>17</v>
      </c>
      <c r="B33" s="140">
        <f aca="true" t="shared" si="11" ref="B33:I33">SUM(B27:B32)</f>
        <v>537343</v>
      </c>
      <c r="C33" s="140">
        <f t="shared" si="11"/>
        <v>515004</v>
      </c>
      <c r="D33" s="140">
        <f t="shared" si="11"/>
        <v>22339</v>
      </c>
      <c r="E33" s="140">
        <f t="shared" si="11"/>
        <v>0</v>
      </c>
      <c r="F33" s="140">
        <f t="shared" si="11"/>
        <v>542993</v>
      </c>
      <c r="G33" s="140">
        <f t="shared" si="11"/>
        <v>542993</v>
      </c>
      <c r="H33" s="140">
        <f t="shared" si="11"/>
        <v>0</v>
      </c>
      <c r="I33" s="140">
        <f t="shared" si="11"/>
        <v>0</v>
      </c>
      <c r="J33" s="66"/>
      <c r="K33" s="139" t="s">
        <v>19</v>
      </c>
      <c r="L33" s="140">
        <f aca="true" t="shared" si="12" ref="L33:S33">SUM(L27:L32)</f>
        <v>555414</v>
      </c>
      <c r="M33" s="140">
        <f t="shared" si="12"/>
        <v>536235</v>
      </c>
      <c r="N33" s="140">
        <f t="shared" si="12"/>
        <v>19179</v>
      </c>
      <c r="O33" s="173">
        <f t="shared" si="12"/>
        <v>0</v>
      </c>
      <c r="P33" s="140">
        <f t="shared" si="12"/>
        <v>560606</v>
      </c>
      <c r="Q33" s="140">
        <f t="shared" si="12"/>
        <v>545188</v>
      </c>
      <c r="R33" s="140">
        <f t="shared" si="12"/>
        <v>15418</v>
      </c>
      <c r="S33" s="173">
        <f t="shared" si="12"/>
        <v>0</v>
      </c>
    </row>
    <row r="34" spans="1:19" ht="25.5">
      <c r="A34" s="9" t="s">
        <v>125</v>
      </c>
      <c r="B34" s="4">
        <f>'1.sz.Bevételi források'!F22</f>
        <v>0</v>
      </c>
      <c r="C34" s="4">
        <f>B34-D34</f>
        <v>0</v>
      </c>
      <c r="D34" s="4"/>
      <c r="E34" s="4"/>
      <c r="F34" s="4">
        <f>'1.sz.Bevételi források'!G22</f>
        <v>0</v>
      </c>
      <c r="G34" s="4"/>
      <c r="H34" s="4"/>
      <c r="I34" s="4"/>
      <c r="J34" s="66"/>
      <c r="K34" s="63" t="s">
        <v>59</v>
      </c>
      <c r="L34" s="4">
        <f>'2.szKiadás kiemelt jogcímenként'!F18</f>
        <v>0</v>
      </c>
      <c r="M34" s="4">
        <f t="shared" si="9"/>
        <v>0</v>
      </c>
      <c r="N34" s="4"/>
      <c r="O34" s="136"/>
      <c r="P34" s="167">
        <f>'2.szKiadás kiemelt jogcímenként'!G18</f>
        <v>0</v>
      </c>
      <c r="Q34" s="4">
        <f t="shared" si="10"/>
        <v>0</v>
      </c>
      <c r="R34" s="179"/>
      <c r="S34" s="180"/>
    </row>
    <row r="35" spans="1:19" ht="15">
      <c r="A35" s="9" t="s">
        <v>126</v>
      </c>
      <c r="B35" s="4">
        <f>'1.sz.Bevételi források'!F30</f>
        <v>0</v>
      </c>
      <c r="C35" s="4">
        <f>B35-D35</f>
        <v>0</v>
      </c>
      <c r="D35" s="4"/>
      <c r="E35" s="4"/>
      <c r="F35" s="4">
        <f>'1.sz.Bevételi források'!G30</f>
        <v>0</v>
      </c>
      <c r="G35" s="4"/>
      <c r="H35" s="4"/>
      <c r="I35" s="4"/>
      <c r="J35" s="66"/>
      <c r="K35" s="63" t="s">
        <v>58</v>
      </c>
      <c r="L35" s="4">
        <f>'2.szKiadás kiemelt jogcímenként'!F17</f>
        <v>0</v>
      </c>
      <c r="M35" s="4">
        <f t="shared" si="9"/>
        <v>0</v>
      </c>
      <c r="N35" s="4"/>
      <c r="O35" s="136"/>
      <c r="P35" s="167">
        <f>'2.szKiadás kiemelt jogcímenként'!G17</f>
        <v>0</v>
      </c>
      <c r="Q35" s="4">
        <f t="shared" si="10"/>
        <v>0</v>
      </c>
      <c r="R35" s="179"/>
      <c r="S35" s="180"/>
    </row>
    <row r="36" spans="1:19" ht="15">
      <c r="A36" s="9" t="s">
        <v>52</v>
      </c>
      <c r="B36" s="4">
        <f>'1.sz.Bevételi források'!F34</f>
        <v>0</v>
      </c>
      <c r="C36" s="4">
        <f>B36-D36</f>
        <v>0</v>
      </c>
      <c r="D36" s="4"/>
      <c r="E36" s="4"/>
      <c r="F36" s="4">
        <f>'1.sz.Bevételi források'!G34</f>
        <v>0</v>
      </c>
      <c r="G36" s="4"/>
      <c r="H36" s="4"/>
      <c r="I36" s="4"/>
      <c r="J36" s="66"/>
      <c r="K36" s="63" t="s">
        <v>61</v>
      </c>
      <c r="L36" s="4">
        <f>'2.szKiadás kiemelt jogcímenként'!F14</f>
        <v>0</v>
      </c>
      <c r="M36" s="4">
        <f t="shared" si="9"/>
        <v>0</v>
      </c>
      <c r="N36" s="4"/>
      <c r="O36" s="136"/>
      <c r="P36" s="167">
        <f>'2.szKiadás kiemelt jogcímenként'!G14</f>
        <v>0</v>
      </c>
      <c r="Q36" s="4">
        <f t="shared" si="10"/>
        <v>0</v>
      </c>
      <c r="R36" s="179"/>
      <c r="S36" s="180"/>
    </row>
    <row r="37" spans="1:19" ht="15">
      <c r="A37" s="9"/>
      <c r="B37" s="4"/>
      <c r="C37" s="4"/>
      <c r="D37" s="4"/>
      <c r="E37" s="4"/>
      <c r="F37" s="4"/>
      <c r="G37" s="4"/>
      <c r="H37" s="4"/>
      <c r="I37" s="4"/>
      <c r="J37" s="66"/>
      <c r="K37" s="63" t="s">
        <v>62</v>
      </c>
      <c r="L37" s="4">
        <f>'2.szKiadás kiemelt jogcímenként'!F15</f>
        <v>0</v>
      </c>
      <c r="M37" s="4">
        <f t="shared" si="9"/>
        <v>0</v>
      </c>
      <c r="N37" s="4"/>
      <c r="O37" s="136"/>
      <c r="P37" s="167">
        <f>'2.szKiadás kiemelt jogcímenként'!G15</f>
        <v>0</v>
      </c>
      <c r="Q37" s="4">
        <f t="shared" si="10"/>
        <v>0</v>
      </c>
      <c r="R37" s="179"/>
      <c r="S37" s="180"/>
    </row>
    <row r="38" spans="1:19" ht="15">
      <c r="A38" s="138" t="s">
        <v>22</v>
      </c>
      <c r="B38" s="140">
        <f aca="true" t="shared" si="13" ref="B38:I38">SUM(B34:B37)</f>
        <v>0</v>
      </c>
      <c r="C38" s="140">
        <f t="shared" si="13"/>
        <v>0</v>
      </c>
      <c r="D38" s="140">
        <f t="shared" si="13"/>
        <v>0</v>
      </c>
      <c r="E38" s="140">
        <f t="shared" si="13"/>
        <v>0</v>
      </c>
      <c r="F38" s="140">
        <f t="shared" si="13"/>
        <v>0</v>
      </c>
      <c r="G38" s="140">
        <f t="shared" si="13"/>
        <v>0</v>
      </c>
      <c r="H38" s="140">
        <f t="shared" si="13"/>
        <v>0</v>
      </c>
      <c r="I38" s="140">
        <f t="shared" si="13"/>
        <v>0</v>
      </c>
      <c r="J38" s="66"/>
      <c r="K38" s="139" t="s">
        <v>69</v>
      </c>
      <c r="L38" s="140">
        <f aca="true" t="shared" si="14" ref="L38:S38">SUM(L34:L37)</f>
        <v>0</v>
      </c>
      <c r="M38" s="140">
        <f t="shared" si="14"/>
        <v>0</v>
      </c>
      <c r="N38" s="140">
        <f t="shared" si="14"/>
        <v>0</v>
      </c>
      <c r="O38" s="173">
        <f t="shared" si="14"/>
        <v>0</v>
      </c>
      <c r="P38" s="140">
        <f t="shared" si="14"/>
        <v>0</v>
      </c>
      <c r="Q38" s="140">
        <f t="shared" si="14"/>
        <v>0</v>
      </c>
      <c r="R38" s="140">
        <f t="shared" si="14"/>
        <v>0</v>
      </c>
      <c r="S38" s="173">
        <f t="shared" si="14"/>
        <v>0</v>
      </c>
    </row>
    <row r="39" spans="1:19" ht="15">
      <c r="A39" s="9" t="s">
        <v>53</v>
      </c>
      <c r="B39" s="4">
        <f>'1.sz.Bevételi források'!F39</f>
        <v>40271</v>
      </c>
      <c r="C39" s="4">
        <f>B39-D39</f>
        <v>2653</v>
      </c>
      <c r="D39" s="4">
        <v>37618</v>
      </c>
      <c r="E39" s="4"/>
      <c r="F39" s="4">
        <f>'1.sz.Bevételi források'!G39</f>
        <v>39813</v>
      </c>
      <c r="G39" s="4">
        <f>F39-H39</f>
        <v>2195</v>
      </c>
      <c r="H39" s="4">
        <v>37618</v>
      </c>
      <c r="I39" s="4"/>
      <c r="J39" s="66"/>
      <c r="K39" s="145" t="s">
        <v>149</v>
      </c>
      <c r="L39" s="146">
        <f>'2.szKiadás kiemelt jogcímenként'!F20</f>
        <v>22200</v>
      </c>
      <c r="M39" s="4">
        <f t="shared" si="9"/>
        <v>0</v>
      </c>
      <c r="N39" s="146">
        <v>22200</v>
      </c>
      <c r="O39" s="178"/>
      <c r="P39" s="182">
        <f>'2.szKiadás kiemelt jogcímenként'!G20</f>
        <v>22200</v>
      </c>
      <c r="Q39" s="4">
        <f t="shared" si="10"/>
        <v>0</v>
      </c>
      <c r="R39" s="70">
        <v>22200</v>
      </c>
      <c r="S39" s="136"/>
    </row>
    <row r="40" spans="1:19" ht="15.75" thickBot="1">
      <c r="A40" s="42" t="s">
        <v>12</v>
      </c>
      <c r="B40" s="43">
        <f aca="true" t="shared" si="15" ref="B40:I40">SUM(B27:B39)-B33-B38</f>
        <v>577614</v>
      </c>
      <c r="C40" s="43">
        <f t="shared" si="15"/>
        <v>517657</v>
      </c>
      <c r="D40" s="43">
        <f t="shared" si="15"/>
        <v>59957</v>
      </c>
      <c r="E40" s="43">
        <f t="shared" si="15"/>
        <v>0</v>
      </c>
      <c r="F40" s="43">
        <f t="shared" si="15"/>
        <v>582806</v>
      </c>
      <c r="G40" s="43">
        <f t="shared" si="15"/>
        <v>545188</v>
      </c>
      <c r="H40" s="43">
        <f t="shared" si="15"/>
        <v>37618</v>
      </c>
      <c r="I40" s="43">
        <f t="shared" si="15"/>
        <v>0</v>
      </c>
      <c r="J40" s="64"/>
      <c r="K40" s="45" t="s">
        <v>12</v>
      </c>
      <c r="L40" s="43">
        <f>L33+L38+L39</f>
        <v>577614</v>
      </c>
      <c r="M40" s="43">
        <f>M33+M38+M39</f>
        <v>536235</v>
      </c>
      <c r="N40" s="43">
        <f>N33+N38+N39</f>
        <v>41379</v>
      </c>
      <c r="O40" s="44">
        <f>O33+O38</f>
        <v>0</v>
      </c>
      <c r="P40" s="43">
        <f>P33+P38+P39</f>
        <v>582806</v>
      </c>
      <c r="Q40" s="43">
        <f>Q33+Q38+Q39</f>
        <v>545188</v>
      </c>
      <c r="R40" s="43">
        <f>R33+R38+R39</f>
        <v>37618</v>
      </c>
      <c r="S40" s="44">
        <f>S33+S38</f>
        <v>0</v>
      </c>
    </row>
    <row r="42" ht="15">
      <c r="G42" s="1"/>
    </row>
    <row r="43" ht="15">
      <c r="L43" s="1"/>
    </row>
  </sheetData>
  <sheetProtection/>
  <mergeCells count="8">
    <mergeCell ref="B5:E5"/>
    <mergeCell ref="F5:I5"/>
    <mergeCell ref="L5:O5"/>
    <mergeCell ref="P5:S5"/>
    <mergeCell ref="B25:E25"/>
    <mergeCell ref="F25:I25"/>
    <mergeCell ref="L25:O25"/>
    <mergeCell ref="P25:S25"/>
  </mergeCells>
  <printOptions/>
  <pageMargins left="0.7" right="0.7" top="0.75" bottom="0.75" header="0.3" footer="0.3"/>
  <pageSetup horizontalDpi="600" verticalDpi="600" orientation="landscape" paperSize="9" scale="63" r:id="rId4"/>
  <headerFooter>
    <oddHeader>&amp;L&amp;G&amp;C.../2020 (II.19.) számú határozat
a Marcali Kistérségi Többcélú Társulás
2019. évi költségvetésének módosításáról</oddHeader>
    <oddFooter>&amp;C&amp;P</oddFooter>
  </headerFooter>
  <colBreaks count="1" manualBreakCount="1">
    <brk id="10" max="6553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Kocsisné Buzás Anita</cp:lastModifiedBy>
  <cp:lastPrinted>2019-05-10T09:27:17Z</cp:lastPrinted>
  <dcterms:created xsi:type="dcterms:W3CDTF">2010-02-04T18:23:25Z</dcterms:created>
  <dcterms:modified xsi:type="dcterms:W3CDTF">2020-03-03T14:23:24Z</dcterms:modified>
  <cp:category/>
  <cp:version/>
  <cp:contentType/>
  <cp:contentStatus/>
</cp:coreProperties>
</file>