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75" windowWidth="19155" windowHeight="7455" activeTab="1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sz.beruházási kiadások" sheetId="5" r:id="rId5"/>
    <sheet name="5.sz. Fizetendő hozzájárulás" sheetId="6" r:id="rId6"/>
    <sheet name="6. sz. Likviditási terv" sheetId="7" r:id="rId7"/>
    <sheet name="7.sz. Társulás ktgv. feladaton" sheetId="8" r:id="rId8"/>
  </sheets>
  <externalReferences>
    <externalReference r:id="rId11"/>
    <externalReference r:id="rId12"/>
  </externalReferences>
  <definedNames>
    <definedName name="gg">'[1]kod'!$BT$34:$BT$3184</definedName>
    <definedName name="kk">'[1]kod'!$BT$34:$BT$3184</definedName>
    <definedName name="_xlnm.Print_Area" localSheetId="0">'1.sz.Bevételi források'!$A$1:$I$50</definedName>
    <definedName name="_xlnm.Print_Area" localSheetId="6">'6. sz. Likviditási terv'!$A$1:$N$62</definedName>
    <definedName name="onev">'[2]kod'!$BT$34:$BT$3184</definedName>
  </definedNames>
  <calcPr fullCalcOnLoad="1"/>
</workbook>
</file>

<file path=xl/sharedStrings.xml><?xml version="1.0" encoding="utf-8"?>
<sst xmlns="http://schemas.openxmlformats.org/spreadsheetml/2006/main" count="440" uniqueCount="216">
  <si>
    <t>Szociális és Egészségügyi Szolgáltató Központ</t>
  </si>
  <si>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</si>
  <si>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</si>
  <si>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</si>
  <si>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</si>
  <si>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</si>
  <si>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</si>
  <si>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</si>
  <si>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</si>
  <si>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</si>
  <si>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</si>
  <si>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</si>
  <si>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</si>
  <si>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1.</t>
  </si>
  <si>
    <t>2.</t>
  </si>
  <si>
    <t>3.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</si>
  <si>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</si>
  <si>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</si>
  <si>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</si>
  <si>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</si>
  <si>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</si>
  <si>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S</t>
  </si>
  <si>
    <t>F e l a d a t</t>
  </si>
  <si>
    <t>Forrás megnevezése</t>
  </si>
  <si>
    <t>sz.</t>
  </si>
  <si>
    <t xml:space="preserve">            Összesen: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</si>
  <si>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</si>
  <si>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</si>
  <si>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</si>
  <si>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</si>
  <si>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</si>
  <si>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</si>
  <si>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</si>
  <si>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</si>
  <si>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</si>
  <si>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</si>
  <si>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</si>
  <si>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</si>
  <si>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</si>
  <si>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</si>
  <si>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</si>
  <si>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</si>
  <si>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</si>
  <si>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</si>
  <si>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</si>
  <si>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 összesen:</t>
  </si>
  <si>
    <t>Kiadási előirányzat összesen: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</si>
  <si>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</si>
  <si>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</si>
  <si>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</si>
  <si>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</si>
  <si>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</si>
  <si>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</si>
  <si>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</si>
  <si>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5. sz. melléklet: Felhalmozási kiadások programonként</t>
  </si>
  <si>
    <t>Megnevezés</t>
  </si>
  <si>
    <t>Belső ellenőrzés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</si>
  <si>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</si>
  <si>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</si>
  <si>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</si>
  <si>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</si>
  <si>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</si>
  <si>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</si>
  <si>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</si>
  <si>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</si>
  <si>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</si>
  <si>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</si>
  <si>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</si>
  <si>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</si>
  <si>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</si>
  <si>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</si>
  <si>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</si>
  <si>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Marcali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</si>
  <si>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</si>
  <si>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</si>
  <si>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</si>
  <si>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</si>
  <si>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</si>
  <si>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</si>
  <si>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</si>
  <si>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</si>
  <si>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</si>
  <si>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</si>
  <si>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</si>
  <si>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</si>
  <si>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</si>
  <si>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</si>
  <si>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</si>
  <si>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</si>
  <si>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</si>
  <si>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</si>
  <si>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</si>
  <si>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</si>
  <si>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</si>
  <si>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</si>
  <si>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Személy szállítás</t>
  </si>
  <si>
    <t>Kiadások mindösszesen:</t>
  </si>
  <si>
    <t>Egyenleg:</t>
  </si>
  <si>
    <t>Orvosi ügyelet</t>
  </si>
  <si>
    <t>Házi segítségnyújtás</t>
  </si>
  <si>
    <t>Településnév</t>
  </si>
  <si>
    <t>Függő bevételek összesen:</t>
  </si>
  <si>
    <t>Függő kiadások összesen:</t>
  </si>
  <si>
    <t>Felhalmozási kiadások összesen:</t>
  </si>
  <si>
    <t>Felhalmozási költségvetés hiánya:</t>
  </si>
  <si>
    <t>Felhalmozási költségvetés többlete:</t>
  </si>
  <si>
    <t>Közfoglalkoztatási programok</t>
  </si>
  <si>
    <t>Marcali Kistérségi Többcélú Társulás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</si>
  <si>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</si>
  <si>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</si>
  <si>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</si>
  <si>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</si>
  <si>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</si>
  <si>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</si>
  <si>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</si>
  <si>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</si>
  <si>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</si>
  <si>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</si>
  <si>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</si>
  <si>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</si>
  <si>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</si>
  <si>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</si>
  <si>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</si>
  <si>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</si>
  <si>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</si>
  <si>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</si>
  <si>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>SZESZK</t>
  </si>
  <si>
    <t>EPSZ hátralék</t>
  </si>
  <si>
    <t xml:space="preserve">       2.3.1 Fejlesztési célú pénzeszközátadás</t>
  </si>
  <si>
    <t xml:space="preserve">       2.3.2 Támogatásértékű pénzeszközátadás</t>
  </si>
  <si>
    <t>START Közfoglalkoztatási programok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</si>
  <si>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</si>
  <si>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</si>
  <si>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</si>
  <si>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</si>
  <si>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</si>
  <si>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</si>
  <si>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</si>
  <si>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</si>
  <si>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</si>
  <si>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</si>
  <si>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</si>
  <si>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</si>
  <si>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</si>
  <si>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</si>
  <si>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</si>
  <si>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</si>
  <si>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</si>
  <si>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</si>
  <si>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</si>
  <si>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</si>
  <si>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</si>
  <si>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</si>
  <si>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</si>
  <si>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</si>
  <si>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Kötelező önkormányzati feladatok</t>
  </si>
  <si>
    <t>Önként vállalt önkormányzati feladat</t>
  </si>
  <si>
    <t>Államigazgatási feladat</t>
  </si>
  <si>
    <t>3. Általános tartalék</t>
  </si>
  <si>
    <t>4. Céltartalék</t>
  </si>
  <si>
    <t>Tagdíj</t>
  </si>
  <si>
    <t>6. melléklet: Települések által fizetendő hozzájárulás</t>
  </si>
  <si>
    <t>7. melléklet: Likviditási terv</t>
  </si>
  <si>
    <t>8. melléklet: Többcélú Kistérségi Társulás költségvetése feladatonként</t>
  </si>
  <si>
    <t>Általános igazgatás</t>
  </si>
  <si>
    <t>Bruttó költség /e Ft eredeti előirányzat</t>
  </si>
  <si>
    <t>Saját forrás /e Ft eredeti előirányzat</t>
  </si>
  <si>
    <t>Külső forrás /e Ft eredeti előirányzat</t>
  </si>
  <si>
    <t>Intézmény- finanszírozás Szeszk</t>
  </si>
  <si>
    <t>Intézmény- finanszírozás Óvodai Központr</t>
  </si>
  <si>
    <t>Hatósági Igazgatás</t>
  </si>
  <si>
    <t>Óvodai nevelés</t>
  </si>
  <si>
    <t>2012. évi beszámoló alapján fizetendő</t>
  </si>
  <si>
    <t>Marcali Óvodai Központ</t>
  </si>
  <si>
    <t>0-18 éves lakosság</t>
  </si>
  <si>
    <t>SZESZK egyéb feladatok</t>
  </si>
  <si>
    <t>Óvodai normatíva átadás</t>
  </si>
  <si>
    <t>Óvoda összesen</t>
  </si>
  <si>
    <t>Telephely, működési engedély, telekalakítás</t>
  </si>
  <si>
    <t>SZESZK egyéb költség, 2015. évi normatíva, támogató és közösségi átadás</t>
  </si>
  <si>
    <t>Közfoglalkoztatás önrész</t>
  </si>
  <si>
    <t>Társulás költségvetése</t>
  </si>
  <si>
    <t xml:space="preserve">       1.4.3 Intézményfinanszírozás</t>
  </si>
  <si>
    <t>Szeszk 2015. évi hátralék</t>
  </si>
  <si>
    <t>2015. évi hátralék</t>
  </si>
  <si>
    <t>Belső ellenőrzés 2015. évi hátralék</t>
  </si>
  <si>
    <t>Óvodai nevelés 2015. évi hátralék</t>
  </si>
  <si>
    <t>Hatósági Igazgatás 2015. évi hátralék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</si>
  <si>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</si>
  <si>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</si>
  <si>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</si>
  <si>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</si>
  <si>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</si>
  <si>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</si>
  <si>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Fejlesztési célú hitel felvétel</t>
  </si>
  <si>
    <t>Hulladékgazdálkodás</t>
  </si>
  <si>
    <t>Idősek otthonában ágyak, kazán beszerzése</t>
  </si>
  <si>
    <t>Tárgyi eszköz beszerzés a Bóbita óvodában</t>
  </si>
  <si>
    <t>Pótkocsi beszerzés</t>
  </si>
  <si>
    <t>Nemzeti Foglalkoztatási Alap START belvíz elvezetési program</t>
  </si>
  <si>
    <t>Nemzeti Foglalkoztatási Alap START földút program</t>
  </si>
  <si>
    <t>Traktor beszerzés</t>
  </si>
  <si>
    <t>Építőipari eszközök beszerzése</t>
  </si>
  <si>
    <t>Nemzeti Foglalkoztatási Alap Hosszabb idejű közfoglalkoztatás</t>
  </si>
  <si>
    <t>Család és Gyermekjóléti Központ</t>
  </si>
  <si>
    <t>Többcélú Kistérségi Társulás                        2016. évi eredeti előirányzat</t>
  </si>
  <si>
    <t>Szociális és Egészségügyi Szolgáltató Központ 2016. évi eredeti előirányzat</t>
  </si>
  <si>
    <t>Óvodai Központ                   2016. évi eredeti előirányzat</t>
  </si>
  <si>
    <t>Többcélú Kistérségi Társulás                        2016. évi módosított előirányzat</t>
  </si>
  <si>
    <t>Szociális és Egészségügyi Szolgáltató Központ 2016. évi módosított előirányzat</t>
  </si>
  <si>
    <t>Összesen                                   2016. évi módosított előirányzat</t>
  </si>
  <si>
    <t>Összesen                                                 2016. évi eredeti előirányzat</t>
  </si>
  <si>
    <t>Óvodai Központ                   2016. évi módosított előirányzat</t>
  </si>
  <si>
    <t>2016. évi módosított előirányzat</t>
  </si>
  <si>
    <t>2015. évi beszámoló alapján fizetendő</t>
  </si>
  <si>
    <t>Fogászati ellátás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</si>
</sst>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justify"/>
    </xf>
    <xf numFmtId="3" fontId="48" fillId="0" borderId="11" xfId="0" applyNumberFormat="1" applyFont="1" applyBorder="1" applyAlignment="1">
      <alignment/>
    </xf>
    <xf numFmtId="3" fontId="48" fillId="0" borderId="12" xfId="0" applyNumberFormat="1" applyFont="1" applyBorder="1" applyAlignment="1">
      <alignment/>
    </xf>
    <xf numFmtId="0" fontId="49" fillId="0" borderId="10" xfId="0" applyFont="1" applyBorder="1" applyAlignment="1">
      <alignment horizontal="justify"/>
    </xf>
    <xf numFmtId="3" fontId="49" fillId="0" borderId="11" xfId="0" applyNumberFormat="1" applyFont="1" applyBorder="1" applyAlignment="1">
      <alignment/>
    </xf>
    <xf numFmtId="3" fontId="48" fillId="33" borderId="11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50" fillId="0" borderId="0" xfId="0" applyFont="1" applyAlignment="1">
      <alignment horizontal="right"/>
    </xf>
    <xf numFmtId="0" fontId="51" fillId="33" borderId="10" xfId="0" applyFont="1" applyFill="1" applyBorder="1" applyAlignment="1">
      <alignment horizontal="justify"/>
    </xf>
    <xf numFmtId="3" fontId="51" fillId="33" borderId="11" xfId="0" applyNumberFormat="1" applyFont="1" applyFill="1" applyBorder="1" applyAlignment="1">
      <alignment/>
    </xf>
    <xf numFmtId="0" fontId="51" fillId="34" borderId="10" xfId="0" applyFont="1" applyFill="1" applyBorder="1" applyAlignment="1">
      <alignment horizontal="justify"/>
    </xf>
    <xf numFmtId="3" fontId="51" fillId="34" borderId="11" xfId="0" applyNumberFormat="1" applyFont="1" applyFill="1" applyBorder="1" applyAlignment="1">
      <alignment/>
    </xf>
    <xf numFmtId="0" fontId="49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48" fillId="33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48" fillId="0" borderId="13" xfId="0" applyNumberFormat="1" applyFont="1" applyBorder="1" applyAlignment="1">
      <alignment/>
    </xf>
    <xf numFmtId="0" fontId="51" fillId="33" borderId="14" xfId="0" applyFont="1" applyFill="1" applyBorder="1" applyAlignment="1">
      <alignment horizontal="justify"/>
    </xf>
    <xf numFmtId="3" fontId="51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48" fillId="35" borderId="16" xfId="0" applyNumberFormat="1" applyFont="1" applyFill="1" applyBorder="1" applyAlignment="1">
      <alignment/>
    </xf>
    <xf numFmtId="3" fontId="48" fillId="35" borderId="17" xfId="0" applyNumberFormat="1" applyFont="1" applyFill="1" applyBorder="1" applyAlignment="1">
      <alignment/>
    </xf>
    <xf numFmtId="3" fontId="48" fillId="35" borderId="18" xfId="0" applyNumberFormat="1" applyFont="1" applyFill="1" applyBorder="1" applyAlignment="1">
      <alignment/>
    </xf>
    <xf numFmtId="3" fontId="48" fillId="35" borderId="19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 horizontal="justify"/>
    </xf>
    <xf numFmtId="3" fontId="48" fillId="0" borderId="10" xfId="0" applyNumberFormat="1" applyFont="1" applyBorder="1" applyAlignment="1">
      <alignment horizontal="justify"/>
    </xf>
    <xf numFmtId="3" fontId="48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top" wrapText="1"/>
    </xf>
    <xf numFmtId="3" fontId="51" fillId="35" borderId="18" xfId="0" applyNumberFormat="1" applyFont="1" applyFill="1" applyBorder="1" applyAlignment="1">
      <alignment/>
    </xf>
    <xf numFmtId="3" fontId="51" fillId="35" borderId="19" xfId="0" applyNumberFormat="1" applyFont="1" applyFill="1" applyBorder="1" applyAlignment="1">
      <alignment/>
    </xf>
    <xf numFmtId="3" fontId="48" fillId="33" borderId="15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48" fillId="36" borderId="14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/>
    </xf>
    <xf numFmtId="3" fontId="51" fillId="35" borderId="16" xfId="0" applyNumberFormat="1" applyFont="1" applyFill="1" applyBorder="1" applyAlignment="1">
      <alignment/>
    </xf>
    <xf numFmtId="3" fontId="51" fillId="35" borderId="21" xfId="0" applyNumberFormat="1" applyFont="1" applyFill="1" applyBorder="1" applyAlignment="1">
      <alignment/>
    </xf>
    <xf numFmtId="0" fontId="5" fillId="35" borderId="16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/>
    </xf>
    <xf numFmtId="3" fontId="51" fillId="35" borderId="11" xfId="0" applyNumberFormat="1" applyFont="1" applyFill="1" applyBorder="1" applyAlignment="1">
      <alignment/>
    </xf>
    <xf numFmtId="3" fontId="51" fillId="35" borderId="12" xfId="0" applyNumberFormat="1" applyFont="1" applyFill="1" applyBorder="1" applyAlignment="1">
      <alignment/>
    </xf>
    <xf numFmtId="3" fontId="51" fillId="35" borderId="10" xfId="0" applyNumberFormat="1" applyFont="1" applyFill="1" applyBorder="1" applyAlignment="1">
      <alignment/>
    </xf>
    <xf numFmtId="3" fontId="51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3" fontId="5" fillId="35" borderId="16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/>
    </xf>
    <xf numFmtId="0" fontId="51" fillId="36" borderId="15" xfId="0" applyFont="1" applyFill="1" applyBorder="1" applyAlignment="1">
      <alignment horizontal="center" vertical="center"/>
    </xf>
    <xf numFmtId="0" fontId="51" fillId="36" borderId="24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justify"/>
    </xf>
    <xf numFmtId="3" fontId="48" fillId="35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justify"/>
    </xf>
    <xf numFmtId="3" fontId="48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44" fillId="33" borderId="11" xfId="0" applyNumberFormat="1" applyFont="1" applyFill="1" applyBorder="1" applyAlignment="1">
      <alignment/>
    </xf>
    <xf numFmtId="3" fontId="44" fillId="33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4" fillId="0" borderId="12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3" fontId="44" fillId="34" borderId="11" xfId="0" applyNumberFormat="1" applyFont="1" applyFill="1" applyBorder="1" applyAlignment="1">
      <alignment/>
    </xf>
    <xf numFmtId="3" fontId="44" fillId="34" borderId="12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44" fillId="35" borderId="11" xfId="0" applyNumberFormat="1" applyFont="1" applyFill="1" applyBorder="1" applyAlignment="1">
      <alignment/>
    </xf>
    <xf numFmtId="3" fontId="44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6" borderId="20" xfId="0" applyFont="1" applyFill="1" applyBorder="1" applyAlignment="1">
      <alignment vertical="top" wrapText="1"/>
    </xf>
    <xf numFmtId="3" fontId="44" fillId="36" borderId="16" xfId="0" applyNumberFormat="1" applyFont="1" applyFill="1" applyBorder="1" applyAlignment="1">
      <alignment/>
    </xf>
    <xf numFmtId="3" fontId="44" fillId="36" borderId="21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51" fillId="33" borderId="11" xfId="0" applyNumberFormat="1" applyFont="1" applyFill="1" applyBorder="1" applyAlignment="1">
      <alignment horizontal="right"/>
    </xf>
    <xf numFmtId="3" fontId="51" fillId="34" borderId="11" xfId="0" applyNumberFormat="1" applyFont="1" applyFill="1" applyBorder="1" applyAlignment="1">
      <alignment horizontal="right"/>
    </xf>
    <xf numFmtId="3" fontId="48" fillId="0" borderId="25" xfId="0" applyNumberFormat="1" applyFont="1" applyBorder="1" applyAlignment="1">
      <alignment horizontal="right"/>
    </xf>
    <xf numFmtId="3" fontId="48" fillId="0" borderId="26" xfId="0" applyNumberFormat="1" applyFont="1" applyBorder="1" applyAlignment="1">
      <alignment/>
    </xf>
    <xf numFmtId="3" fontId="51" fillId="33" borderId="26" xfId="0" applyNumberFormat="1" applyFont="1" applyFill="1" applyBorder="1" applyAlignment="1">
      <alignment/>
    </xf>
    <xf numFmtId="3" fontId="51" fillId="35" borderId="27" xfId="0" applyNumberFormat="1" applyFont="1" applyFill="1" applyBorder="1" applyAlignment="1">
      <alignment/>
    </xf>
    <xf numFmtId="3" fontId="51" fillId="36" borderId="24" xfId="0" applyNumberFormat="1" applyFont="1" applyFill="1" applyBorder="1" applyAlignment="1">
      <alignment horizontal="center" vertical="center" wrapText="1"/>
    </xf>
    <xf numFmtId="3" fontId="51" fillId="36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/>
      <protection hidden="1"/>
    </xf>
    <xf numFmtId="3" fontId="51" fillId="0" borderId="12" xfId="0" applyNumberFormat="1" applyFont="1" applyBorder="1" applyAlignment="1">
      <alignment/>
    </xf>
    <xf numFmtId="3" fontId="48" fillId="35" borderId="20" xfId="0" applyNumberFormat="1" applyFont="1" applyFill="1" applyBorder="1" applyAlignment="1">
      <alignment/>
    </xf>
    <xf numFmtId="0" fontId="48" fillId="36" borderId="28" xfId="0" applyFont="1" applyFill="1" applyBorder="1" applyAlignment="1">
      <alignment horizontal="center" vertical="center" wrapText="1"/>
    </xf>
    <xf numFmtId="0" fontId="48" fillId="36" borderId="14" xfId="0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  <xf numFmtId="3" fontId="51" fillId="34" borderId="10" xfId="0" applyNumberFormat="1" applyFont="1" applyFill="1" applyBorder="1" applyAlignment="1">
      <alignment/>
    </xf>
    <xf numFmtId="0" fontId="51" fillId="35" borderId="29" xfId="0" applyFont="1" applyFill="1" applyBorder="1" applyAlignment="1">
      <alignment/>
    </xf>
    <xf numFmtId="3" fontId="51" fillId="35" borderId="30" xfId="0" applyNumberFormat="1" applyFont="1" applyFill="1" applyBorder="1" applyAlignment="1">
      <alignment horizontal="right"/>
    </xf>
    <xf numFmtId="3" fontId="51" fillId="35" borderId="30" xfId="0" applyNumberFormat="1" applyFont="1" applyFill="1" applyBorder="1" applyAlignment="1">
      <alignment/>
    </xf>
    <xf numFmtId="3" fontId="51" fillId="35" borderId="29" xfId="0" applyNumberFormat="1" applyFont="1" applyFill="1" applyBorder="1" applyAlignment="1">
      <alignment/>
    </xf>
    <xf numFmtId="0" fontId="51" fillId="35" borderId="31" xfId="0" applyFont="1" applyFill="1" applyBorder="1" applyAlignment="1">
      <alignment/>
    </xf>
    <xf numFmtId="3" fontId="51" fillId="35" borderId="32" xfId="0" applyNumberFormat="1" applyFont="1" applyFill="1" applyBorder="1" applyAlignment="1">
      <alignment horizontal="right"/>
    </xf>
    <xf numFmtId="3" fontId="51" fillId="35" borderId="32" xfId="0" applyNumberFormat="1" applyFont="1" applyFill="1" applyBorder="1" applyAlignment="1">
      <alignment/>
    </xf>
    <xf numFmtId="0" fontId="5" fillId="35" borderId="31" xfId="0" applyFont="1" applyFill="1" applyBorder="1" applyAlignment="1">
      <alignment vertical="top" wrapText="1"/>
    </xf>
    <xf numFmtId="3" fontId="51" fillId="36" borderId="2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3" fontId="4" fillId="0" borderId="30" xfId="0" applyNumberFormat="1" applyFont="1" applyBorder="1" applyAlignment="1">
      <alignment vertical="top" wrapText="1"/>
    </xf>
    <xf numFmtId="3" fontId="4" fillId="0" borderId="30" xfId="0" applyNumberFormat="1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51" fillId="34" borderId="10" xfId="0" applyFont="1" applyFill="1" applyBorder="1" applyAlignment="1">
      <alignment horizontal="right"/>
    </xf>
    <xf numFmtId="3" fontId="51" fillId="36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51" fillId="36" borderId="11" xfId="0" applyNumberFormat="1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vertical="top" wrapText="1"/>
    </xf>
    <xf numFmtId="3" fontId="4" fillId="0" borderId="26" xfId="0" applyNumberFormat="1" applyFont="1" applyBorder="1" applyAlignment="1">
      <alignment vertical="top" wrapText="1"/>
    </xf>
    <xf numFmtId="3" fontId="4" fillId="0" borderId="26" xfId="0" applyNumberFormat="1" applyFont="1" applyBorder="1" applyAlignment="1">
      <alignment vertical="center" wrapText="1"/>
    </xf>
    <xf numFmtId="3" fontId="5" fillId="33" borderId="26" xfId="0" applyNumberFormat="1" applyFont="1" applyFill="1" applyBorder="1" applyAlignment="1">
      <alignment vertical="top" wrapText="1"/>
    </xf>
    <xf numFmtId="3" fontId="51" fillId="35" borderId="26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0" fillId="33" borderId="11" xfId="0" applyNumberFormat="1" applyFill="1" applyBorder="1" applyAlignment="1">
      <alignment/>
    </xf>
    <xf numFmtId="3" fontId="44" fillId="33" borderId="26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50" fillId="0" borderId="26" xfId="0" applyNumberFormat="1" applyFont="1" applyBorder="1" applyAlignment="1">
      <alignment/>
    </xf>
    <xf numFmtId="3" fontId="0" fillId="0" borderId="26" xfId="0" applyNumberFormat="1" applyFill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3" fontId="51" fillId="36" borderId="11" xfId="0" applyNumberFormat="1" applyFont="1" applyFill="1" applyBorder="1" applyAlignment="1">
      <alignment horizontal="center"/>
    </xf>
    <xf numFmtId="3" fontId="51" fillId="36" borderId="11" xfId="0" applyNumberFormat="1" applyFont="1" applyFill="1" applyBorder="1" applyAlignment="1">
      <alignment horizontal="center"/>
    </xf>
    <xf numFmtId="3" fontId="51" fillId="36" borderId="11" xfId="0" applyNumberFormat="1" applyFont="1" applyFill="1" applyBorder="1" applyAlignment="1">
      <alignment horizontal="center"/>
    </xf>
    <xf numFmtId="3" fontId="51" fillId="36" borderId="11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3" fontId="51" fillId="36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51" fillId="36" borderId="11" xfId="0" applyNumberFormat="1" applyFont="1" applyFill="1" applyBorder="1" applyAlignment="1">
      <alignment horizontal="center"/>
    </xf>
    <xf numFmtId="3" fontId="51" fillId="33" borderId="24" xfId="0" applyNumberFormat="1" applyFont="1" applyFill="1" applyBorder="1" applyAlignment="1">
      <alignment/>
    </xf>
    <xf numFmtId="3" fontId="51" fillId="33" borderId="12" xfId="0" applyNumberFormat="1" applyFont="1" applyFill="1" applyBorder="1" applyAlignment="1">
      <alignment/>
    </xf>
    <xf numFmtId="3" fontId="48" fillId="0" borderId="34" xfId="0" applyNumberFormat="1" applyFont="1" applyBorder="1" applyAlignment="1">
      <alignment/>
    </xf>
    <xf numFmtId="3" fontId="48" fillId="33" borderId="24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51" fillId="36" borderId="11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51" fillId="34" borderId="10" xfId="0" applyFont="1" applyFill="1" applyBorder="1" applyAlignment="1">
      <alignment horizontal="left"/>
    </xf>
    <xf numFmtId="3" fontId="51" fillId="34" borderId="25" xfId="0" applyNumberFormat="1" applyFont="1" applyFill="1" applyBorder="1" applyAlignment="1">
      <alignment horizontal="right"/>
    </xf>
    <xf numFmtId="0" fontId="5" fillId="33" borderId="30" xfId="0" applyFont="1" applyFill="1" applyBorder="1" applyAlignment="1">
      <alignment vertical="top" wrapText="1"/>
    </xf>
    <xf numFmtId="3" fontId="51" fillId="33" borderId="30" xfId="0" applyNumberFormat="1" applyFont="1" applyFill="1" applyBorder="1" applyAlignment="1">
      <alignment/>
    </xf>
    <xf numFmtId="3" fontId="51" fillId="33" borderId="35" xfId="0" applyNumberFormat="1" applyFont="1" applyFill="1" applyBorder="1" applyAlignment="1">
      <alignment/>
    </xf>
    <xf numFmtId="3" fontId="51" fillId="33" borderId="29" xfId="0" applyNumberFormat="1" applyFont="1" applyFill="1" applyBorder="1" applyAlignment="1">
      <alignment/>
    </xf>
    <xf numFmtId="3" fontId="51" fillId="0" borderId="30" xfId="0" applyNumberFormat="1" applyFont="1" applyFill="1" applyBorder="1" applyAlignment="1">
      <alignment/>
    </xf>
    <xf numFmtId="3" fontId="51" fillId="0" borderId="35" xfId="0" applyNumberFormat="1" applyFont="1" applyFill="1" applyBorder="1" applyAlignment="1">
      <alignment/>
    </xf>
    <xf numFmtId="3" fontId="51" fillId="0" borderId="29" xfId="0" applyNumberFormat="1" applyFont="1" applyFill="1" applyBorder="1" applyAlignment="1">
      <alignment/>
    </xf>
    <xf numFmtId="0" fontId="7" fillId="0" borderId="3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/>
    </xf>
    <xf numFmtId="3" fontId="51" fillId="33" borderId="36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3" fontId="44" fillId="0" borderId="11" xfId="0" applyNumberFormat="1" applyFont="1" applyFill="1" applyBorder="1" applyAlignment="1">
      <alignment/>
    </xf>
    <xf numFmtId="3" fontId="44" fillId="0" borderId="26" xfId="0" applyNumberFormat="1" applyFont="1" applyFill="1" applyBorder="1" applyAlignment="1">
      <alignment/>
    </xf>
    <xf numFmtId="3" fontId="48" fillId="33" borderId="30" xfId="0" applyNumberFormat="1" applyFont="1" applyFill="1" applyBorder="1" applyAlignment="1">
      <alignment/>
    </xf>
    <xf numFmtId="3" fontId="48" fillId="33" borderId="33" xfId="0" applyNumberFormat="1" applyFont="1" applyFill="1" applyBorder="1" applyAlignment="1">
      <alignment/>
    </xf>
    <xf numFmtId="3" fontId="48" fillId="0" borderId="30" xfId="0" applyNumberFormat="1" applyFont="1" applyFill="1" applyBorder="1" applyAlignment="1">
      <alignment/>
    </xf>
    <xf numFmtId="3" fontId="48" fillId="0" borderId="33" xfId="0" applyNumberFormat="1" applyFont="1" applyFill="1" applyBorder="1" applyAlignment="1">
      <alignment/>
    </xf>
    <xf numFmtId="0" fontId="48" fillId="36" borderId="37" xfId="0" applyFont="1" applyFill="1" applyBorder="1" applyAlignment="1">
      <alignment horizontal="center" vertical="center" wrapText="1"/>
    </xf>
    <xf numFmtId="3" fontId="51" fillId="33" borderId="38" xfId="0" applyNumberFormat="1" applyFont="1" applyFill="1" applyBorder="1" applyAlignment="1">
      <alignment/>
    </xf>
    <xf numFmtId="3" fontId="48" fillId="0" borderId="38" xfId="0" applyNumberFormat="1" applyFont="1" applyBorder="1" applyAlignment="1">
      <alignment/>
    </xf>
    <xf numFmtId="3" fontId="49" fillId="0" borderId="38" xfId="0" applyNumberFormat="1" applyFont="1" applyBorder="1" applyAlignment="1">
      <alignment/>
    </xf>
    <xf numFmtId="3" fontId="51" fillId="33" borderId="39" xfId="0" applyNumberFormat="1" applyFont="1" applyFill="1" applyBorder="1" applyAlignment="1">
      <alignment/>
    </xf>
    <xf numFmtId="3" fontId="51" fillId="0" borderId="39" xfId="0" applyNumberFormat="1" applyFont="1" applyFill="1" applyBorder="1" applyAlignment="1">
      <alignment/>
    </xf>
    <xf numFmtId="3" fontId="51" fillId="35" borderId="40" xfId="0" applyNumberFormat="1" applyFont="1" applyFill="1" applyBorder="1" applyAlignment="1">
      <alignment/>
    </xf>
    <xf numFmtId="3" fontId="51" fillId="35" borderId="41" xfId="0" applyNumberFormat="1" applyFont="1" applyFill="1" applyBorder="1" applyAlignment="1">
      <alignment/>
    </xf>
    <xf numFmtId="3" fontId="51" fillId="36" borderId="26" xfId="0" applyNumberFormat="1" applyFont="1" applyFill="1" applyBorder="1" applyAlignment="1">
      <alignment horizontal="center"/>
    </xf>
    <xf numFmtId="3" fontId="48" fillId="0" borderId="11" xfId="0" applyNumberFormat="1" applyFont="1" applyFill="1" applyBorder="1" applyAlignment="1" applyProtection="1">
      <alignment/>
      <protection hidden="1"/>
    </xf>
    <xf numFmtId="3" fontId="48" fillId="33" borderId="42" xfId="0" applyNumberFormat="1" applyFont="1" applyFill="1" applyBorder="1" applyAlignment="1">
      <alignment/>
    </xf>
    <xf numFmtId="3" fontId="48" fillId="0" borderId="30" xfId="0" applyNumberFormat="1" applyFont="1" applyFill="1" applyBorder="1" applyAlignment="1" applyProtection="1">
      <alignment/>
      <protection hidden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8" fillId="36" borderId="43" xfId="0" applyFont="1" applyFill="1" applyBorder="1" applyAlignment="1">
      <alignment horizontal="center"/>
    </xf>
    <xf numFmtId="3" fontId="51" fillId="36" borderId="14" xfId="0" applyNumberFormat="1" applyFont="1" applyFill="1" applyBorder="1" applyAlignment="1">
      <alignment horizontal="center"/>
    </xf>
    <xf numFmtId="3" fontId="51" fillId="36" borderId="15" xfId="0" applyNumberFormat="1" applyFont="1" applyFill="1" applyBorder="1" applyAlignment="1">
      <alignment horizontal="center"/>
    </xf>
    <xf numFmtId="3" fontId="51" fillId="36" borderId="28" xfId="0" applyNumberFormat="1" applyFont="1" applyFill="1" applyBorder="1" applyAlignment="1">
      <alignment horizontal="center" vertical="center"/>
    </xf>
    <xf numFmtId="3" fontId="51" fillId="36" borderId="44" xfId="0" applyNumberFormat="1" applyFont="1" applyFill="1" applyBorder="1" applyAlignment="1">
      <alignment horizontal="center" vertical="center"/>
    </xf>
    <xf numFmtId="3" fontId="51" fillId="36" borderId="45" xfId="0" applyNumberFormat="1" applyFont="1" applyFill="1" applyBorder="1" applyAlignment="1">
      <alignment horizontal="center" vertical="center"/>
    </xf>
    <xf numFmtId="3" fontId="51" fillId="36" borderId="10" xfId="0" applyNumberFormat="1" applyFont="1" applyFill="1" applyBorder="1" applyAlignment="1">
      <alignment horizontal="center"/>
    </xf>
    <xf numFmtId="3" fontId="51" fillId="36" borderId="11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zoomScale="60" zoomScaleNormal="60" workbookViewId="0" topLeftCell="A19">
      <selection activeCell="A41" sqref="A41"/>
    </sheetView>
  </sheetViews>
  <sheetFormatPr defaultColWidth="9.140625" defaultRowHeight="15"/>
  <cols>
    <col min="1" max="1" width="85.28125" style="0" customWidth="1"/>
    <col min="2" max="3" width="18.28125" style="0" customWidth="1"/>
    <col min="4" max="5" width="16.28125" style="0" customWidth="1"/>
    <col min="6" max="9" width="19.00390625" style="0" customWidth="1"/>
    <col min="10" max="10" width="21.57421875" style="0" customWidth="1"/>
  </cols>
  <sheetData>
    <row r="1" ht="15">
      <c r="A1" t="s">
        <v>51</v>
      </c>
    </row>
    <row r="2" spans="2:3" ht="15">
      <c r="B2" s="1"/>
      <c r="C2" s="1"/>
    </row>
    <row r="3" ht="15.75" thickBot="1"/>
    <row r="4" spans="1:9" ht="67.5" customHeight="1">
      <c r="A4" s="41" t="s">
        <v>47</v>
      </c>
      <c r="B4" s="42" t="s">
        <v>205</v>
      </c>
      <c r="C4" s="42" t="s">
        <v>208</v>
      </c>
      <c r="D4" s="97" t="s">
        <v>206</v>
      </c>
      <c r="E4" s="97" t="s">
        <v>209</v>
      </c>
      <c r="F4" s="97" t="s">
        <v>207</v>
      </c>
      <c r="G4" s="97" t="s">
        <v>212</v>
      </c>
      <c r="H4" s="98" t="s">
        <v>211</v>
      </c>
      <c r="I4" s="98" t="s">
        <v>210</v>
      </c>
    </row>
    <row r="5" spans="1:9" ht="20.25" customHeight="1">
      <c r="A5" s="13" t="s">
        <v>2</v>
      </c>
      <c r="B5" s="14">
        <f aca="true" t="shared" si="0" ref="B5:G5">B6</f>
        <v>163810</v>
      </c>
      <c r="C5" s="14">
        <f t="shared" si="0"/>
        <v>163810</v>
      </c>
      <c r="D5" s="14">
        <f t="shared" si="0"/>
        <v>42810</v>
      </c>
      <c r="E5" s="14">
        <f t="shared" si="0"/>
        <v>42810</v>
      </c>
      <c r="F5" s="14">
        <f t="shared" si="0"/>
        <v>0</v>
      </c>
      <c r="G5" s="14">
        <f t="shared" si="0"/>
        <v>0</v>
      </c>
      <c r="H5" s="99">
        <f aca="true" t="shared" si="1" ref="H5:I48">B5+D5+F5</f>
        <v>206620</v>
      </c>
      <c r="I5" s="99">
        <f t="shared" si="1"/>
        <v>206620</v>
      </c>
    </row>
    <row r="6" spans="1:10" ht="15">
      <c r="A6" s="5" t="s">
        <v>3</v>
      </c>
      <c r="B6" s="84">
        <v>163810</v>
      </c>
      <c r="C6" s="84">
        <v>163810</v>
      </c>
      <c r="D6" s="6">
        <v>42810</v>
      </c>
      <c r="E6" s="6">
        <v>42810</v>
      </c>
      <c r="F6" s="6">
        <v>0</v>
      </c>
      <c r="G6" s="6">
        <v>0</v>
      </c>
      <c r="H6" s="34">
        <f t="shared" si="1"/>
        <v>206620</v>
      </c>
      <c r="I6" s="34">
        <f t="shared" si="1"/>
        <v>206620</v>
      </c>
      <c r="J6" s="1"/>
    </row>
    <row r="7" spans="1:10" ht="15">
      <c r="A7" s="5"/>
      <c r="B7" s="88"/>
      <c r="C7" s="88"/>
      <c r="D7" s="6"/>
      <c r="E7" s="6"/>
      <c r="F7" s="6"/>
      <c r="G7" s="6"/>
      <c r="H7" s="34">
        <f t="shared" si="1"/>
        <v>0</v>
      </c>
      <c r="I7" s="34">
        <f t="shared" si="1"/>
        <v>0</v>
      </c>
      <c r="J7" s="1"/>
    </row>
    <row r="8" spans="1:11" ht="15">
      <c r="A8" s="13" t="s">
        <v>131</v>
      </c>
      <c r="B8" s="14">
        <f aca="true" t="shared" si="2" ref="B8:G8">SUM(B9:B15)</f>
        <v>696701</v>
      </c>
      <c r="C8" s="14">
        <f t="shared" si="2"/>
        <v>707237</v>
      </c>
      <c r="D8" s="14">
        <f t="shared" si="2"/>
        <v>23424</v>
      </c>
      <c r="E8" s="14">
        <f t="shared" si="2"/>
        <v>23424</v>
      </c>
      <c r="F8" s="14">
        <f t="shared" si="2"/>
        <v>0</v>
      </c>
      <c r="G8" s="14">
        <f t="shared" si="2"/>
        <v>0</v>
      </c>
      <c r="H8" s="99">
        <f t="shared" si="1"/>
        <v>720125</v>
      </c>
      <c r="I8" s="99">
        <f t="shared" si="1"/>
        <v>730661</v>
      </c>
      <c r="J8" s="1"/>
      <c r="K8" s="1"/>
    </row>
    <row r="9" spans="1:11" ht="15">
      <c r="A9" s="5" t="s">
        <v>135</v>
      </c>
      <c r="B9" s="6">
        <f>149537+786</f>
        <v>150323</v>
      </c>
      <c r="C9" s="6">
        <f>149537+786</f>
        <v>150323</v>
      </c>
      <c r="D9" s="6">
        <v>0</v>
      </c>
      <c r="E9" s="6">
        <v>0</v>
      </c>
      <c r="F9" s="6"/>
      <c r="G9" s="6"/>
      <c r="H9" s="34">
        <f t="shared" si="1"/>
        <v>150323</v>
      </c>
      <c r="I9" s="34">
        <f t="shared" si="1"/>
        <v>150323</v>
      </c>
      <c r="J9" s="1"/>
      <c r="K9" s="1"/>
    </row>
    <row r="10" spans="1:11" ht="15">
      <c r="A10" s="5" t="s">
        <v>136</v>
      </c>
      <c r="B10" s="6">
        <v>0</v>
      </c>
      <c r="C10" s="6">
        <v>5912</v>
      </c>
      <c r="D10" s="6">
        <v>23424</v>
      </c>
      <c r="E10" s="6">
        <v>23424</v>
      </c>
      <c r="F10" s="6"/>
      <c r="G10" s="6"/>
      <c r="H10" s="34">
        <f t="shared" si="1"/>
        <v>23424</v>
      </c>
      <c r="I10" s="34">
        <f t="shared" si="1"/>
        <v>29336</v>
      </c>
      <c r="J10" s="1"/>
      <c r="K10" s="1"/>
    </row>
    <row r="11" spans="1:11" ht="15">
      <c r="A11" s="5" t="s">
        <v>137</v>
      </c>
      <c r="B11" s="6">
        <v>546378</v>
      </c>
      <c r="C11" s="6">
        <v>551002</v>
      </c>
      <c r="D11" s="6">
        <v>0</v>
      </c>
      <c r="E11" s="6">
        <v>0</v>
      </c>
      <c r="F11" s="6"/>
      <c r="G11" s="6"/>
      <c r="H11" s="34">
        <f t="shared" si="1"/>
        <v>546378</v>
      </c>
      <c r="I11" s="34">
        <f t="shared" si="1"/>
        <v>551002</v>
      </c>
      <c r="J11" s="1"/>
      <c r="K11" s="1"/>
    </row>
    <row r="12" spans="1:11" ht="15">
      <c r="A12" s="5" t="s">
        <v>138</v>
      </c>
      <c r="B12" s="6">
        <v>0</v>
      </c>
      <c r="C12" s="6">
        <v>0</v>
      </c>
      <c r="D12" s="6">
        <v>0</v>
      </c>
      <c r="E12" s="6">
        <v>0</v>
      </c>
      <c r="F12" s="6"/>
      <c r="G12" s="6"/>
      <c r="H12" s="34">
        <f t="shared" si="1"/>
        <v>0</v>
      </c>
      <c r="I12" s="34">
        <f t="shared" si="1"/>
        <v>0</v>
      </c>
      <c r="J12" s="1"/>
      <c r="K12" s="1"/>
    </row>
    <row r="13" spans="1:11" ht="15">
      <c r="A13" s="5" t="s">
        <v>139</v>
      </c>
      <c r="B13" s="6">
        <v>0</v>
      </c>
      <c r="C13" s="6">
        <v>0</v>
      </c>
      <c r="D13" s="6">
        <v>0</v>
      </c>
      <c r="E13" s="6">
        <v>0</v>
      </c>
      <c r="F13" s="6"/>
      <c r="G13" s="6"/>
      <c r="H13" s="34">
        <f t="shared" si="1"/>
        <v>0</v>
      </c>
      <c r="I13" s="34">
        <f t="shared" si="1"/>
        <v>0</v>
      </c>
      <c r="J13" s="1"/>
      <c r="K13" s="1"/>
    </row>
    <row r="14" spans="1:10" ht="15">
      <c r="A14" s="5" t="s">
        <v>140</v>
      </c>
      <c r="B14" s="6">
        <v>0</v>
      </c>
      <c r="C14" s="6">
        <v>0</v>
      </c>
      <c r="D14" s="6"/>
      <c r="E14" s="6"/>
      <c r="F14" s="6"/>
      <c r="G14" s="6"/>
      <c r="H14" s="34">
        <f t="shared" si="1"/>
        <v>0</v>
      </c>
      <c r="I14" s="34">
        <f t="shared" si="1"/>
        <v>0</v>
      </c>
      <c r="J14" s="1"/>
    </row>
    <row r="15" spans="1:10" ht="15">
      <c r="A15" s="5"/>
      <c r="B15" s="6"/>
      <c r="C15" s="6"/>
      <c r="D15" s="6"/>
      <c r="E15" s="6"/>
      <c r="F15" s="6"/>
      <c r="G15" s="6"/>
      <c r="H15" s="34">
        <f t="shared" si="1"/>
        <v>0</v>
      </c>
      <c r="I15" s="34">
        <f t="shared" si="1"/>
        <v>0</v>
      </c>
      <c r="J15" s="1"/>
    </row>
    <row r="16" spans="1:10" ht="15">
      <c r="A16" s="13" t="s">
        <v>132</v>
      </c>
      <c r="B16" s="86">
        <f aca="true" t="shared" si="3" ref="B16:G16">SUM(B17:B17)</f>
        <v>0</v>
      </c>
      <c r="C16" s="86">
        <f t="shared" si="3"/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99">
        <f t="shared" si="1"/>
        <v>0</v>
      </c>
      <c r="I16" s="99">
        <f t="shared" si="1"/>
        <v>0</v>
      </c>
      <c r="J16" s="1"/>
    </row>
    <row r="17" spans="1:9" ht="15">
      <c r="A17" s="5" t="s">
        <v>148</v>
      </c>
      <c r="B17" s="88">
        <v>0</v>
      </c>
      <c r="C17" s="88">
        <v>0</v>
      </c>
      <c r="D17" s="6">
        <v>0</v>
      </c>
      <c r="E17" s="6">
        <v>0</v>
      </c>
      <c r="F17" s="6"/>
      <c r="G17" s="6"/>
      <c r="H17" s="34">
        <f t="shared" si="1"/>
        <v>0</v>
      </c>
      <c r="I17" s="34">
        <f t="shared" si="1"/>
        <v>0</v>
      </c>
    </row>
    <row r="18" spans="1:9" ht="15">
      <c r="A18" s="5"/>
      <c r="B18" s="88"/>
      <c r="C18" s="88"/>
      <c r="D18" s="6"/>
      <c r="E18" s="6"/>
      <c r="F18" s="6"/>
      <c r="G18" s="6"/>
      <c r="H18" s="34">
        <f t="shared" si="1"/>
        <v>0</v>
      </c>
      <c r="I18" s="34">
        <f t="shared" si="1"/>
        <v>0</v>
      </c>
    </row>
    <row r="19" spans="1:9" ht="15">
      <c r="A19" s="13" t="s">
        <v>133</v>
      </c>
      <c r="B19" s="86">
        <f aca="true" t="shared" si="4" ref="B19:G19">SUM(B20:B20)</f>
        <v>0</v>
      </c>
      <c r="C19" s="86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99">
        <f t="shared" si="1"/>
        <v>0</v>
      </c>
      <c r="I19" s="99">
        <f t="shared" si="1"/>
        <v>0</v>
      </c>
    </row>
    <row r="20" spans="1:9" ht="15">
      <c r="A20" s="5" t="s">
        <v>153</v>
      </c>
      <c r="B20" s="6">
        <v>0</v>
      </c>
      <c r="C20" s="6">
        <v>0</v>
      </c>
      <c r="D20" s="6">
        <v>0</v>
      </c>
      <c r="E20" s="6">
        <v>0</v>
      </c>
      <c r="F20" s="6"/>
      <c r="G20" s="6"/>
      <c r="H20" s="34">
        <f t="shared" si="1"/>
        <v>0</v>
      </c>
      <c r="I20" s="34">
        <f t="shared" si="1"/>
        <v>0</v>
      </c>
    </row>
    <row r="21" spans="1:9" ht="15">
      <c r="A21" s="5"/>
      <c r="B21" s="88"/>
      <c r="C21" s="88"/>
      <c r="D21" s="6"/>
      <c r="E21" s="6"/>
      <c r="F21" s="6"/>
      <c r="G21" s="6"/>
      <c r="H21" s="34">
        <f t="shared" si="1"/>
        <v>0</v>
      </c>
      <c r="I21" s="34">
        <f t="shared" si="1"/>
        <v>0</v>
      </c>
    </row>
    <row r="22" spans="1:9" ht="15">
      <c r="A22" s="13" t="s">
        <v>134</v>
      </c>
      <c r="B22" s="86">
        <f aca="true" t="shared" si="5" ref="B22:G22">SUM(B23:B29)</f>
        <v>0</v>
      </c>
      <c r="C22" s="86">
        <f t="shared" si="5"/>
        <v>0</v>
      </c>
      <c r="D22" s="14">
        <f t="shared" si="5"/>
        <v>0</v>
      </c>
      <c r="E22" s="14">
        <f t="shared" si="5"/>
        <v>0</v>
      </c>
      <c r="F22" s="14">
        <f t="shared" si="5"/>
        <v>0</v>
      </c>
      <c r="G22" s="14">
        <f t="shared" si="5"/>
        <v>0</v>
      </c>
      <c r="H22" s="99">
        <f t="shared" si="1"/>
        <v>0</v>
      </c>
      <c r="I22" s="99">
        <f t="shared" si="1"/>
        <v>0</v>
      </c>
    </row>
    <row r="23" spans="1:9" ht="15">
      <c r="A23" s="5" t="s">
        <v>141</v>
      </c>
      <c r="B23" s="6"/>
      <c r="C23" s="6"/>
      <c r="D23" s="6"/>
      <c r="E23" s="6"/>
      <c r="F23" s="6"/>
      <c r="G23" s="6"/>
      <c r="H23" s="34">
        <f t="shared" si="1"/>
        <v>0</v>
      </c>
      <c r="I23" s="34">
        <f t="shared" si="1"/>
        <v>0</v>
      </c>
    </row>
    <row r="24" spans="1:9" ht="15">
      <c r="A24" s="5" t="s">
        <v>142</v>
      </c>
      <c r="B24" s="6"/>
      <c r="C24" s="6"/>
      <c r="D24" s="6"/>
      <c r="E24" s="6"/>
      <c r="F24" s="6"/>
      <c r="G24" s="6"/>
      <c r="H24" s="34">
        <f t="shared" si="1"/>
        <v>0</v>
      </c>
      <c r="I24" s="34">
        <f t="shared" si="1"/>
        <v>0</v>
      </c>
    </row>
    <row r="25" spans="1:9" ht="15">
      <c r="A25" s="5" t="s">
        <v>143</v>
      </c>
      <c r="B25" s="6"/>
      <c r="C25" s="6"/>
      <c r="D25" s="6"/>
      <c r="E25" s="6"/>
      <c r="F25" s="6"/>
      <c r="G25" s="6"/>
      <c r="H25" s="34">
        <f t="shared" si="1"/>
        <v>0</v>
      </c>
      <c r="I25" s="34">
        <f t="shared" si="1"/>
        <v>0</v>
      </c>
    </row>
    <row r="26" spans="1:11" ht="15">
      <c r="A26" s="5" t="s">
        <v>144</v>
      </c>
      <c r="B26" s="6"/>
      <c r="C26" s="6"/>
      <c r="D26" s="6"/>
      <c r="E26" s="6"/>
      <c r="F26" s="6"/>
      <c r="G26" s="6"/>
      <c r="H26" s="34">
        <f t="shared" si="1"/>
        <v>0</v>
      </c>
      <c r="I26" s="34">
        <f t="shared" si="1"/>
        <v>0</v>
      </c>
      <c r="K26" s="1"/>
    </row>
    <row r="27" spans="1:9" ht="15">
      <c r="A27" s="5" t="s">
        <v>145</v>
      </c>
      <c r="B27" s="6"/>
      <c r="C27" s="6"/>
      <c r="D27" s="6"/>
      <c r="E27" s="6"/>
      <c r="F27" s="6"/>
      <c r="G27" s="6"/>
      <c r="H27" s="34">
        <f t="shared" si="1"/>
        <v>0</v>
      </c>
      <c r="I27" s="34">
        <f t="shared" si="1"/>
        <v>0</v>
      </c>
    </row>
    <row r="28" spans="1:9" ht="15">
      <c r="A28" s="5" t="s">
        <v>146</v>
      </c>
      <c r="B28" s="6"/>
      <c r="C28" s="6"/>
      <c r="D28" s="6"/>
      <c r="E28" s="6"/>
      <c r="F28" s="6"/>
      <c r="G28" s="6"/>
      <c r="H28" s="34">
        <f t="shared" si="1"/>
        <v>0</v>
      </c>
      <c r="I28" s="34">
        <f t="shared" si="1"/>
        <v>0</v>
      </c>
    </row>
    <row r="29" spans="1:9" ht="15">
      <c r="A29" s="5"/>
      <c r="B29" s="88"/>
      <c r="C29" s="88"/>
      <c r="D29" s="6"/>
      <c r="E29" s="6"/>
      <c r="F29" s="6"/>
      <c r="G29" s="6"/>
      <c r="H29" s="34">
        <f t="shared" si="1"/>
        <v>0</v>
      </c>
      <c r="I29" s="34">
        <f t="shared" si="1"/>
        <v>0</v>
      </c>
    </row>
    <row r="30" spans="1:9" ht="15">
      <c r="A30" s="13" t="s">
        <v>147</v>
      </c>
      <c r="B30" s="86">
        <f aca="true" t="shared" si="6" ref="B30:G30">SUM(B31:B32)</f>
        <v>0</v>
      </c>
      <c r="C30" s="86">
        <f t="shared" si="6"/>
        <v>0</v>
      </c>
      <c r="D30" s="14">
        <f t="shared" si="6"/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99">
        <f t="shared" si="1"/>
        <v>0</v>
      </c>
      <c r="I30" s="99">
        <f t="shared" si="1"/>
        <v>0</v>
      </c>
    </row>
    <row r="31" spans="1:9" ht="15">
      <c r="A31" s="5" t="s">
        <v>4</v>
      </c>
      <c r="B31" s="88"/>
      <c r="C31" s="88"/>
      <c r="D31" s="6"/>
      <c r="E31" s="6"/>
      <c r="F31" s="6"/>
      <c r="G31" s="6"/>
      <c r="H31" s="34">
        <f t="shared" si="1"/>
        <v>0</v>
      </c>
      <c r="I31" s="34">
        <f t="shared" si="1"/>
        <v>0</v>
      </c>
    </row>
    <row r="32" spans="1:9" ht="15">
      <c r="A32" s="5" t="s">
        <v>124</v>
      </c>
      <c r="B32" s="88"/>
      <c r="C32" s="88"/>
      <c r="D32" s="6"/>
      <c r="E32" s="6"/>
      <c r="F32" s="6"/>
      <c r="G32" s="6"/>
      <c r="H32" s="34">
        <f t="shared" si="1"/>
        <v>0</v>
      </c>
      <c r="I32" s="34">
        <f t="shared" si="1"/>
        <v>0</v>
      </c>
    </row>
    <row r="33" spans="1:9" ht="15">
      <c r="A33" s="5"/>
      <c r="B33" s="88"/>
      <c r="C33" s="88"/>
      <c r="D33" s="6"/>
      <c r="E33" s="6"/>
      <c r="F33" s="6"/>
      <c r="G33" s="6"/>
      <c r="H33" s="34">
        <f t="shared" si="1"/>
        <v>0</v>
      </c>
      <c r="I33" s="34">
        <f t="shared" si="1"/>
        <v>0</v>
      </c>
    </row>
    <row r="34" spans="1:9" ht="15">
      <c r="A34" s="13" t="s">
        <v>149</v>
      </c>
      <c r="B34" s="86">
        <f aca="true" t="shared" si="7" ref="B34:G34">SUM(B35:B35)</f>
        <v>0</v>
      </c>
      <c r="C34" s="86">
        <f t="shared" si="7"/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99">
        <f t="shared" si="1"/>
        <v>0</v>
      </c>
      <c r="I34" s="99">
        <f t="shared" si="1"/>
        <v>0</v>
      </c>
    </row>
    <row r="35" spans="1:9" ht="15">
      <c r="A35" s="5" t="s">
        <v>150</v>
      </c>
      <c r="B35" s="88"/>
      <c r="C35" s="88"/>
      <c r="D35" s="6">
        <v>0</v>
      </c>
      <c r="E35" s="6">
        <v>0</v>
      </c>
      <c r="F35" s="6"/>
      <c r="G35" s="6"/>
      <c r="H35" s="34">
        <f t="shared" si="1"/>
        <v>0</v>
      </c>
      <c r="I35" s="34">
        <f t="shared" si="1"/>
        <v>0</v>
      </c>
    </row>
    <row r="36" spans="1:9" ht="15">
      <c r="A36" s="5"/>
      <c r="B36" s="88"/>
      <c r="C36" s="88"/>
      <c r="D36" s="6"/>
      <c r="E36" s="6"/>
      <c r="F36" s="6"/>
      <c r="G36" s="6"/>
      <c r="H36" s="34">
        <f t="shared" si="1"/>
        <v>0</v>
      </c>
      <c r="I36" s="34">
        <f t="shared" si="1"/>
        <v>0</v>
      </c>
    </row>
    <row r="37" spans="1:9" ht="15">
      <c r="A37" s="15" t="s">
        <v>151</v>
      </c>
      <c r="B37" s="87">
        <f aca="true" t="shared" si="8" ref="B37:G37">B22+B19+B16+B8+B5+B30+B34</f>
        <v>860511</v>
      </c>
      <c r="C37" s="87">
        <f t="shared" si="8"/>
        <v>871047</v>
      </c>
      <c r="D37" s="16">
        <f t="shared" si="8"/>
        <v>66234</v>
      </c>
      <c r="E37" s="16">
        <f t="shared" si="8"/>
        <v>66234</v>
      </c>
      <c r="F37" s="16">
        <f t="shared" si="8"/>
        <v>0</v>
      </c>
      <c r="G37" s="16">
        <f t="shared" si="8"/>
        <v>0</v>
      </c>
      <c r="H37" s="101">
        <f t="shared" si="1"/>
        <v>926745</v>
      </c>
      <c r="I37" s="101">
        <f t="shared" si="1"/>
        <v>937281</v>
      </c>
    </row>
    <row r="38" spans="1:9" ht="15">
      <c r="A38" s="5"/>
      <c r="B38" s="88"/>
      <c r="C38" s="88"/>
      <c r="D38" s="6"/>
      <c r="E38" s="6"/>
      <c r="F38" s="6"/>
      <c r="G38" s="6"/>
      <c r="H38" s="34">
        <f t="shared" si="1"/>
        <v>0</v>
      </c>
      <c r="I38" s="34">
        <f t="shared" si="1"/>
        <v>0</v>
      </c>
    </row>
    <row r="39" spans="1:9" ht="15" customHeight="1">
      <c r="A39" s="118" t="s">
        <v>152</v>
      </c>
      <c r="B39" s="87">
        <f aca="true" t="shared" si="9" ref="B39:G39">B40+B43</f>
        <v>13112</v>
      </c>
      <c r="C39" s="87">
        <f t="shared" si="9"/>
        <v>13194</v>
      </c>
      <c r="D39" s="16">
        <f t="shared" si="9"/>
        <v>0</v>
      </c>
      <c r="E39" s="16">
        <f t="shared" si="9"/>
        <v>0</v>
      </c>
      <c r="F39" s="16">
        <f t="shared" si="9"/>
        <v>0</v>
      </c>
      <c r="G39" s="16">
        <f t="shared" si="9"/>
        <v>0</v>
      </c>
      <c r="H39" s="101">
        <f t="shared" si="1"/>
        <v>13112</v>
      </c>
      <c r="I39" s="101">
        <f t="shared" si="1"/>
        <v>13194</v>
      </c>
    </row>
    <row r="40" spans="1:9" ht="15">
      <c r="A40" s="8" t="s">
        <v>6</v>
      </c>
      <c r="B40" s="85">
        <f aca="true" t="shared" si="10" ref="B40:G40">SUM(B41:B42)</f>
        <v>13112</v>
      </c>
      <c r="C40" s="85">
        <f t="shared" si="10"/>
        <v>13194</v>
      </c>
      <c r="D40" s="9">
        <f t="shared" si="10"/>
        <v>0</v>
      </c>
      <c r="E40" s="9">
        <f t="shared" si="10"/>
        <v>0</v>
      </c>
      <c r="F40" s="9">
        <f t="shared" si="10"/>
        <v>0</v>
      </c>
      <c r="G40" s="9">
        <f t="shared" si="10"/>
        <v>0</v>
      </c>
      <c r="H40" s="100">
        <f t="shared" si="1"/>
        <v>13112</v>
      </c>
      <c r="I40" s="100">
        <f t="shared" si="1"/>
        <v>13194</v>
      </c>
    </row>
    <row r="41" spans="1:9" ht="15">
      <c r="A41" s="5" t="s">
        <v>7</v>
      </c>
      <c r="B41" s="111">
        <v>13112</v>
      </c>
      <c r="C41" s="111">
        <v>13194</v>
      </c>
      <c r="D41" s="67"/>
      <c r="E41" s="67"/>
      <c r="F41" s="67"/>
      <c r="G41" s="67"/>
      <c r="H41" s="34">
        <f t="shared" si="1"/>
        <v>13112</v>
      </c>
      <c r="I41" s="34">
        <f t="shared" si="1"/>
        <v>13194</v>
      </c>
    </row>
    <row r="42" spans="1:9" ht="15">
      <c r="A42" s="5" t="s">
        <v>8</v>
      </c>
      <c r="B42" s="88"/>
      <c r="C42" s="88"/>
      <c r="D42" s="6">
        <v>0</v>
      </c>
      <c r="E42" s="6">
        <v>0</v>
      </c>
      <c r="F42" s="6"/>
      <c r="G42" s="6"/>
      <c r="H42" s="34">
        <f t="shared" si="1"/>
        <v>0</v>
      </c>
      <c r="I42" s="34">
        <f t="shared" si="1"/>
        <v>0</v>
      </c>
    </row>
    <row r="43" spans="1:9" ht="15">
      <c r="A43" s="8" t="s">
        <v>9</v>
      </c>
      <c r="B43" s="85">
        <f aca="true" t="shared" si="11" ref="B43:G43">SUM(B44:B45)</f>
        <v>0</v>
      </c>
      <c r="C43" s="85">
        <f t="shared" si="11"/>
        <v>0</v>
      </c>
      <c r="D43" s="9">
        <f t="shared" si="11"/>
        <v>0</v>
      </c>
      <c r="E43" s="9">
        <f t="shared" si="11"/>
        <v>0</v>
      </c>
      <c r="F43" s="9">
        <f t="shared" si="11"/>
        <v>0</v>
      </c>
      <c r="G43" s="9">
        <f t="shared" si="11"/>
        <v>0</v>
      </c>
      <c r="H43" s="100">
        <f t="shared" si="1"/>
        <v>0</v>
      </c>
      <c r="I43" s="100">
        <f t="shared" si="1"/>
        <v>0</v>
      </c>
    </row>
    <row r="44" spans="1:9" ht="15">
      <c r="A44" s="5" t="s">
        <v>10</v>
      </c>
      <c r="B44" s="88"/>
      <c r="C44" s="88"/>
      <c r="D44" s="6">
        <v>0</v>
      </c>
      <c r="E44" s="6">
        <v>0</v>
      </c>
      <c r="F44" s="6"/>
      <c r="G44" s="6"/>
      <c r="H44" s="34">
        <f t="shared" si="1"/>
        <v>0</v>
      </c>
      <c r="I44" s="34">
        <f t="shared" si="1"/>
        <v>0</v>
      </c>
    </row>
    <row r="45" spans="1:9" ht="15">
      <c r="A45" s="5" t="s">
        <v>11</v>
      </c>
      <c r="B45" s="88"/>
      <c r="C45" s="88"/>
      <c r="D45" s="6">
        <v>0</v>
      </c>
      <c r="E45" s="6">
        <v>0</v>
      </c>
      <c r="F45" s="6"/>
      <c r="G45" s="6"/>
      <c r="H45" s="34">
        <f t="shared" si="1"/>
        <v>0</v>
      </c>
      <c r="I45" s="34">
        <f t="shared" si="1"/>
        <v>0</v>
      </c>
    </row>
    <row r="46" spans="1:9" ht="15">
      <c r="A46" s="157" t="s">
        <v>188</v>
      </c>
      <c r="B46" s="158">
        <f aca="true" t="shared" si="12" ref="B46:I46">B47+B48</f>
        <v>122196</v>
      </c>
      <c r="C46" s="158">
        <f t="shared" si="12"/>
        <v>122196</v>
      </c>
      <c r="D46" s="16">
        <f t="shared" si="12"/>
        <v>0</v>
      </c>
      <c r="E46" s="16">
        <f t="shared" si="12"/>
        <v>0</v>
      </c>
      <c r="F46" s="16">
        <f t="shared" si="12"/>
        <v>0</v>
      </c>
      <c r="G46" s="16">
        <f t="shared" si="12"/>
        <v>0</v>
      </c>
      <c r="H46" s="101">
        <f t="shared" si="12"/>
        <v>122196</v>
      </c>
      <c r="I46" s="101">
        <f t="shared" si="12"/>
        <v>122196</v>
      </c>
    </row>
    <row r="47" spans="1:9" ht="15">
      <c r="A47" s="8" t="s">
        <v>189</v>
      </c>
      <c r="B47" s="88"/>
      <c r="C47" s="88"/>
      <c r="D47" s="6"/>
      <c r="E47" s="6"/>
      <c r="F47" s="6"/>
      <c r="G47" s="6"/>
      <c r="H47" s="34">
        <f t="shared" si="1"/>
        <v>0</v>
      </c>
      <c r="I47" s="34">
        <f t="shared" si="1"/>
        <v>0</v>
      </c>
    </row>
    <row r="48" spans="1:9" ht="15">
      <c r="A48" s="8" t="s">
        <v>190</v>
      </c>
      <c r="B48" s="88">
        <v>122196</v>
      </c>
      <c r="C48" s="88">
        <v>122196</v>
      </c>
      <c r="D48" s="6"/>
      <c r="E48" s="6"/>
      <c r="F48" s="6"/>
      <c r="G48" s="6"/>
      <c r="H48" s="34">
        <f t="shared" si="1"/>
        <v>122196</v>
      </c>
      <c r="I48" s="34">
        <f t="shared" si="1"/>
        <v>122196</v>
      </c>
    </row>
    <row r="49" spans="1:9" ht="15.75" thickBot="1">
      <c r="A49" s="102" t="s">
        <v>12</v>
      </c>
      <c r="B49" s="103">
        <f aca="true" t="shared" si="13" ref="B49:I49">B39+B37+B46</f>
        <v>995819</v>
      </c>
      <c r="C49" s="103">
        <f t="shared" si="13"/>
        <v>1006437</v>
      </c>
      <c r="D49" s="104">
        <f t="shared" si="13"/>
        <v>66234</v>
      </c>
      <c r="E49" s="104">
        <f t="shared" si="13"/>
        <v>66234</v>
      </c>
      <c r="F49" s="104">
        <f t="shared" si="13"/>
        <v>0</v>
      </c>
      <c r="G49" s="104">
        <f t="shared" si="13"/>
        <v>0</v>
      </c>
      <c r="H49" s="105">
        <f t="shared" si="13"/>
        <v>1062053</v>
      </c>
      <c r="I49" s="105">
        <f t="shared" si="13"/>
        <v>1072671</v>
      </c>
    </row>
    <row r="50" spans="1:9" ht="15.75" thickBot="1">
      <c r="A50" s="106" t="s">
        <v>101</v>
      </c>
      <c r="B50" s="107"/>
      <c r="C50" s="107"/>
      <c r="D50" s="108"/>
      <c r="E50" s="108"/>
      <c r="F50" s="108"/>
      <c r="G50" s="108"/>
      <c r="H50" s="108"/>
      <c r="I50" s="108"/>
    </row>
  </sheetData>
  <sheetProtection/>
  <printOptions/>
  <pageMargins left="0.7" right="0.7" top="0.75" bottom="0.75" header="0.3" footer="0.3"/>
  <pageSetup horizontalDpi="600" verticalDpi="600" orientation="portrait" paperSize="9" scale="37" r:id="rId2"/>
  <headerFooter>
    <oddHeader>&amp;L&amp;G&amp;C.../2016 (X.26.) számú határozat
a Marcali Kistérségi Többcélú Társulás
2016. évi költségvetésének módosításáról</oddHeader>
    <oddFooter>&amp;C&amp;P. oldal</oddFooter>
  </headerFooter>
  <colBreaks count="1" manualBreakCount="1">
    <brk id="9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L27"/>
  <sheetViews>
    <sheetView tabSelected="1" zoomScale="70" zoomScaleNormal="7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5" width="17.28125" style="0" customWidth="1"/>
    <col min="6" max="9" width="18.140625" style="0" customWidth="1"/>
  </cols>
  <sheetData>
    <row r="2" spans="1:9" ht="15.75" thickBot="1">
      <c r="A2" s="4" t="s">
        <v>50</v>
      </c>
      <c r="B2" s="4"/>
      <c r="C2" s="4"/>
      <c r="D2" s="4"/>
      <c r="E2" s="4"/>
      <c r="F2" s="4"/>
      <c r="G2" s="4"/>
      <c r="H2" s="4"/>
      <c r="I2" s="4"/>
    </row>
    <row r="3" spans="1:9" ht="67.5" customHeight="1">
      <c r="A3" s="47" t="s">
        <v>48</v>
      </c>
      <c r="B3" s="42" t="s">
        <v>205</v>
      </c>
      <c r="C3" s="42" t="s">
        <v>208</v>
      </c>
      <c r="D3" s="97" t="s">
        <v>206</v>
      </c>
      <c r="E3" s="97" t="s">
        <v>209</v>
      </c>
      <c r="F3" s="97" t="s">
        <v>207</v>
      </c>
      <c r="G3" s="97" t="s">
        <v>212</v>
      </c>
      <c r="H3" s="98" t="s">
        <v>211</v>
      </c>
      <c r="I3" s="176" t="s">
        <v>210</v>
      </c>
    </row>
    <row r="4" spans="1:12" ht="15">
      <c r="A4" s="20" t="s">
        <v>27</v>
      </c>
      <c r="B4" s="14">
        <f aca="true" t="shared" si="0" ref="B4:G4">SUM(B5:B11)-B8</f>
        <v>182066</v>
      </c>
      <c r="C4" s="14">
        <f t="shared" si="0"/>
        <v>210130</v>
      </c>
      <c r="D4" s="14">
        <f t="shared" si="0"/>
        <v>272469</v>
      </c>
      <c r="E4" s="14">
        <f t="shared" si="0"/>
        <v>272469</v>
      </c>
      <c r="F4" s="14">
        <f t="shared" si="0"/>
        <v>288022</v>
      </c>
      <c r="G4" s="14">
        <f t="shared" si="0"/>
        <v>288022</v>
      </c>
      <c r="H4" s="99">
        <f aca="true" t="shared" si="1" ref="H4:I7">B4+D4+F4</f>
        <v>742557</v>
      </c>
      <c r="I4" s="177">
        <f t="shared" si="1"/>
        <v>770621</v>
      </c>
      <c r="L4" s="1"/>
    </row>
    <row r="5" spans="1:12" ht="15">
      <c r="A5" s="18" t="s">
        <v>17</v>
      </c>
      <c r="B5" s="6">
        <v>116013</v>
      </c>
      <c r="C5" s="6">
        <v>116013</v>
      </c>
      <c r="D5" s="89">
        <v>147073</v>
      </c>
      <c r="E5" s="89">
        <v>147073</v>
      </c>
      <c r="F5" s="6">
        <v>194156</v>
      </c>
      <c r="G5" s="6">
        <v>194156</v>
      </c>
      <c r="H5" s="34">
        <f t="shared" si="1"/>
        <v>457242</v>
      </c>
      <c r="I5" s="178">
        <f t="shared" si="1"/>
        <v>457242</v>
      </c>
      <c r="L5" s="1"/>
    </row>
    <row r="6" spans="1:12" ht="25.5">
      <c r="A6" s="18" t="s">
        <v>112</v>
      </c>
      <c r="B6" s="6">
        <v>15948</v>
      </c>
      <c r="C6" s="6">
        <v>15948</v>
      </c>
      <c r="D6" s="89">
        <v>39347</v>
      </c>
      <c r="E6" s="89">
        <v>39347</v>
      </c>
      <c r="F6" s="6">
        <v>52510</v>
      </c>
      <c r="G6" s="6">
        <v>52510</v>
      </c>
      <c r="H6" s="34">
        <f t="shared" si="1"/>
        <v>107805</v>
      </c>
      <c r="I6" s="178">
        <f t="shared" si="1"/>
        <v>107805</v>
      </c>
      <c r="K6" s="1"/>
      <c r="L6" s="1"/>
    </row>
    <row r="7" spans="1:12" ht="15">
      <c r="A7" s="18" t="s">
        <v>19</v>
      </c>
      <c r="B7" s="6">
        <v>35335</v>
      </c>
      <c r="C7" s="6">
        <v>35335</v>
      </c>
      <c r="D7" s="89">
        <v>85799</v>
      </c>
      <c r="E7" s="89">
        <v>85799</v>
      </c>
      <c r="F7" s="6">
        <v>41356</v>
      </c>
      <c r="G7" s="6">
        <v>41356</v>
      </c>
      <c r="H7" s="34">
        <f t="shared" si="1"/>
        <v>162490</v>
      </c>
      <c r="I7" s="178">
        <f t="shared" si="1"/>
        <v>162490</v>
      </c>
      <c r="K7" s="1"/>
      <c r="L7" s="1"/>
    </row>
    <row r="8" spans="1:12" ht="15">
      <c r="A8" s="18" t="s">
        <v>108</v>
      </c>
      <c r="B8" s="22">
        <f aca="true" t="shared" si="2" ref="B8:I8">SUM(B9:B10)</f>
        <v>14770</v>
      </c>
      <c r="C8" s="22">
        <f t="shared" si="2"/>
        <v>42834</v>
      </c>
      <c r="D8" s="22">
        <f t="shared" si="2"/>
        <v>0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34">
        <f t="shared" si="2"/>
        <v>14770</v>
      </c>
      <c r="I8" s="178">
        <f t="shared" si="2"/>
        <v>42834</v>
      </c>
      <c r="L8" s="1"/>
    </row>
    <row r="9" spans="1:12" ht="18" customHeight="1">
      <c r="A9" s="120" t="s">
        <v>109</v>
      </c>
      <c r="B9" s="9">
        <v>13620</v>
      </c>
      <c r="C9" s="9">
        <v>35772</v>
      </c>
      <c r="D9" s="9"/>
      <c r="E9" s="9"/>
      <c r="F9" s="9"/>
      <c r="G9" s="9"/>
      <c r="H9" s="100">
        <f aca="true" t="shared" si="3" ref="H9:I15">B9+D9+F9</f>
        <v>13620</v>
      </c>
      <c r="I9" s="179">
        <f t="shared" si="3"/>
        <v>35772</v>
      </c>
      <c r="L9" s="1"/>
    </row>
    <row r="10" spans="1:12" ht="15">
      <c r="A10" s="19" t="s">
        <v>110</v>
      </c>
      <c r="B10" s="9">
        <v>1150</v>
      </c>
      <c r="C10" s="9">
        <f>1150+5912</f>
        <v>7062</v>
      </c>
      <c r="D10" s="9"/>
      <c r="E10" s="9"/>
      <c r="F10" s="9"/>
      <c r="G10" s="9"/>
      <c r="H10" s="100">
        <f t="shared" si="3"/>
        <v>1150</v>
      </c>
      <c r="I10" s="179">
        <f t="shared" si="3"/>
        <v>7062</v>
      </c>
      <c r="L10" s="1"/>
    </row>
    <row r="11" spans="1:12" ht="15">
      <c r="A11" s="18" t="s">
        <v>111</v>
      </c>
      <c r="B11" s="22"/>
      <c r="C11" s="22"/>
      <c r="D11" s="6">
        <v>250</v>
      </c>
      <c r="E11" s="6">
        <v>250</v>
      </c>
      <c r="F11" s="6"/>
      <c r="G11" s="6"/>
      <c r="H11" s="34">
        <f t="shared" si="3"/>
        <v>250</v>
      </c>
      <c r="I11" s="178">
        <f t="shared" si="3"/>
        <v>250</v>
      </c>
      <c r="L11" s="1"/>
    </row>
    <row r="12" spans="1:12" ht="15">
      <c r="A12" s="18"/>
      <c r="B12" s="22"/>
      <c r="C12" s="22"/>
      <c r="D12" s="6"/>
      <c r="E12" s="6"/>
      <c r="F12" s="6"/>
      <c r="G12" s="6"/>
      <c r="H12" s="34">
        <f t="shared" si="3"/>
        <v>0</v>
      </c>
      <c r="I12" s="178">
        <f t="shared" si="3"/>
        <v>0</v>
      </c>
      <c r="L12" s="1"/>
    </row>
    <row r="13" spans="1:12" ht="15">
      <c r="A13" s="20" t="s">
        <v>32</v>
      </c>
      <c r="B13" s="14">
        <f aca="true" t="shared" si="4" ref="B13:G13">SUM(B14:B18)-B16</f>
        <v>132918</v>
      </c>
      <c r="C13" s="14">
        <f t="shared" si="4"/>
        <v>132918</v>
      </c>
      <c r="D13" s="14">
        <f t="shared" si="4"/>
        <v>3452</v>
      </c>
      <c r="E13" s="14">
        <f t="shared" si="4"/>
        <v>3452</v>
      </c>
      <c r="F13" s="90">
        <f t="shared" si="4"/>
        <v>795</v>
      </c>
      <c r="G13" s="90">
        <f t="shared" si="4"/>
        <v>795</v>
      </c>
      <c r="H13" s="99">
        <f t="shared" si="3"/>
        <v>137165</v>
      </c>
      <c r="I13" s="177">
        <f t="shared" si="3"/>
        <v>137165</v>
      </c>
      <c r="L13" s="1"/>
    </row>
    <row r="14" spans="1:12" ht="15">
      <c r="A14" s="18" t="s">
        <v>113</v>
      </c>
      <c r="B14" s="6">
        <f>122196+10722</f>
        <v>132918</v>
      </c>
      <c r="C14" s="6">
        <f>10722</f>
        <v>10722</v>
      </c>
      <c r="D14" s="6">
        <v>2500</v>
      </c>
      <c r="E14" s="6">
        <v>2500</v>
      </c>
      <c r="F14" s="6">
        <v>350</v>
      </c>
      <c r="G14" s="6">
        <v>350</v>
      </c>
      <c r="H14" s="34">
        <f t="shared" si="3"/>
        <v>135768</v>
      </c>
      <c r="I14" s="178">
        <f t="shared" si="3"/>
        <v>13572</v>
      </c>
      <c r="L14" s="1"/>
    </row>
    <row r="15" spans="1:12" ht="15">
      <c r="A15" s="18" t="s">
        <v>116</v>
      </c>
      <c r="B15" s="6"/>
      <c r="C15" s="6"/>
      <c r="D15" s="6">
        <v>952</v>
      </c>
      <c r="E15" s="6">
        <v>952</v>
      </c>
      <c r="F15" s="6">
        <v>445</v>
      </c>
      <c r="G15" s="6">
        <v>445</v>
      </c>
      <c r="H15" s="34">
        <f t="shared" si="3"/>
        <v>1397</v>
      </c>
      <c r="I15" s="178">
        <f t="shared" si="3"/>
        <v>1397</v>
      </c>
      <c r="L15" s="1"/>
    </row>
    <row r="16" spans="1:12" ht="15">
      <c r="A16" s="18" t="s">
        <v>117</v>
      </c>
      <c r="B16" s="6">
        <f aca="true" t="shared" si="5" ref="B16:G16">SUM(B17:B18)</f>
        <v>0</v>
      </c>
      <c r="C16" s="6">
        <f t="shared" si="5"/>
        <v>122196</v>
      </c>
      <c r="D16" s="6">
        <f t="shared" si="5"/>
        <v>0</v>
      </c>
      <c r="E16" s="6">
        <f t="shared" si="5"/>
        <v>0</v>
      </c>
      <c r="F16" s="6">
        <f t="shared" si="5"/>
        <v>0</v>
      </c>
      <c r="G16" s="6">
        <f t="shared" si="5"/>
        <v>0</v>
      </c>
      <c r="H16" s="34">
        <f>B16+D16</f>
        <v>0</v>
      </c>
      <c r="I16" s="178">
        <f>C16+E16</f>
        <v>122196</v>
      </c>
      <c r="L16" s="1"/>
    </row>
    <row r="17" spans="1:12" ht="15">
      <c r="A17" s="19" t="s">
        <v>114</v>
      </c>
      <c r="B17" s="35"/>
      <c r="C17" s="35">
        <v>122196</v>
      </c>
      <c r="D17" s="9">
        <v>0</v>
      </c>
      <c r="E17" s="9">
        <v>0</v>
      </c>
      <c r="F17" s="9"/>
      <c r="G17" s="9"/>
      <c r="H17" s="100">
        <f aca="true" t="shared" si="6" ref="H17:I20">B17+D17+F17</f>
        <v>0</v>
      </c>
      <c r="I17" s="179">
        <f t="shared" si="6"/>
        <v>122196</v>
      </c>
      <c r="L17" s="1"/>
    </row>
    <row r="18" spans="1:12" ht="18" customHeight="1">
      <c r="A18" s="19" t="s">
        <v>115</v>
      </c>
      <c r="B18" s="35"/>
      <c r="C18" s="35"/>
      <c r="D18" s="9"/>
      <c r="E18" s="9"/>
      <c r="F18" s="9"/>
      <c r="G18" s="9"/>
      <c r="H18" s="100">
        <f t="shared" si="6"/>
        <v>0</v>
      </c>
      <c r="I18" s="179">
        <f t="shared" si="6"/>
        <v>0</v>
      </c>
      <c r="L18" s="1"/>
    </row>
    <row r="19" spans="1:12" ht="15">
      <c r="A19" s="20" t="s">
        <v>158</v>
      </c>
      <c r="B19" s="14">
        <v>50386</v>
      </c>
      <c r="C19" s="14">
        <f>32858+82</f>
        <v>32940</v>
      </c>
      <c r="D19" s="14"/>
      <c r="E19" s="14"/>
      <c r="F19" s="14"/>
      <c r="G19" s="14"/>
      <c r="H19" s="99">
        <f t="shared" si="6"/>
        <v>50386</v>
      </c>
      <c r="I19" s="177">
        <f t="shared" si="6"/>
        <v>32940</v>
      </c>
      <c r="L19" s="1"/>
    </row>
    <row r="20" spans="1:12" ht="15">
      <c r="A20" s="20" t="s">
        <v>159</v>
      </c>
      <c r="B20" s="14">
        <v>9749</v>
      </c>
      <c r="C20" s="14">
        <v>9749</v>
      </c>
      <c r="D20" s="14"/>
      <c r="E20" s="14"/>
      <c r="F20" s="14"/>
      <c r="G20" s="14"/>
      <c r="H20" s="99">
        <f t="shared" si="6"/>
        <v>9749</v>
      </c>
      <c r="I20" s="177">
        <f t="shared" si="6"/>
        <v>9749</v>
      </c>
      <c r="L20" s="1"/>
    </row>
    <row r="21" spans="1:12" ht="15">
      <c r="A21" s="159" t="s">
        <v>191</v>
      </c>
      <c r="B21" s="160">
        <f aca="true" t="shared" si="7" ref="B21:I21">B22</f>
        <v>122196</v>
      </c>
      <c r="C21" s="160">
        <f t="shared" si="7"/>
        <v>122196</v>
      </c>
      <c r="D21" s="160">
        <f t="shared" si="7"/>
        <v>0</v>
      </c>
      <c r="E21" s="160">
        <f t="shared" si="7"/>
        <v>0</v>
      </c>
      <c r="F21" s="161">
        <f t="shared" si="7"/>
        <v>0</v>
      </c>
      <c r="G21" s="161">
        <f t="shared" si="7"/>
        <v>0</v>
      </c>
      <c r="H21" s="162">
        <f t="shared" si="7"/>
        <v>122196</v>
      </c>
      <c r="I21" s="180">
        <f t="shared" si="7"/>
        <v>122196</v>
      </c>
      <c r="L21" s="1"/>
    </row>
    <row r="22" spans="1:12" ht="25.5">
      <c r="A22" s="166" t="s">
        <v>192</v>
      </c>
      <c r="B22" s="163">
        <v>122196</v>
      </c>
      <c r="C22" s="163">
        <v>122196</v>
      </c>
      <c r="D22" s="163"/>
      <c r="E22" s="163"/>
      <c r="F22" s="164"/>
      <c r="G22" s="164"/>
      <c r="H22" s="165">
        <f>B22+D22+F22</f>
        <v>122196</v>
      </c>
      <c r="I22" s="181">
        <f>C22+E22+G22</f>
        <v>122196</v>
      </c>
      <c r="L22" s="1"/>
    </row>
    <row r="23" spans="1:12" ht="15.75" thickBot="1">
      <c r="A23" s="46" t="s">
        <v>16</v>
      </c>
      <c r="B23" s="44">
        <f>B4+B13+B19+B20+B21</f>
        <v>497315</v>
      </c>
      <c r="C23" s="44">
        <f>C4+C13+C19+C20+C21</f>
        <v>507933</v>
      </c>
      <c r="D23" s="44">
        <f>D4+D13+D19+D20</f>
        <v>275921</v>
      </c>
      <c r="E23" s="44">
        <f>E4+E13+E19+E20</f>
        <v>275921</v>
      </c>
      <c r="F23" s="91">
        <f>F4+F13+F19+F20</f>
        <v>288817</v>
      </c>
      <c r="G23" s="91">
        <f>G4+G13+G19+G20</f>
        <v>288817</v>
      </c>
      <c r="H23" s="52">
        <f>B23+D23+F23</f>
        <v>1062053</v>
      </c>
      <c r="I23" s="182">
        <f>C23+E23+G23</f>
        <v>1072671</v>
      </c>
      <c r="K23" s="1"/>
      <c r="L23" s="1"/>
    </row>
    <row r="24" spans="1:9" ht="15.75" thickBot="1">
      <c r="A24" s="109" t="s">
        <v>102</v>
      </c>
      <c r="B24" s="108"/>
      <c r="C24" s="108"/>
      <c r="D24" s="108"/>
      <c r="E24" s="108"/>
      <c r="F24" s="108"/>
      <c r="G24" s="108"/>
      <c r="H24" s="108">
        <f>D24+B24</f>
        <v>0</v>
      </c>
      <c r="I24" s="183">
        <f>E24+C24</f>
        <v>0</v>
      </c>
    </row>
    <row r="27" spans="4:5" ht="15">
      <c r="D27" s="1"/>
      <c r="E27" s="1"/>
    </row>
  </sheetData>
  <sheetProtection/>
  <printOptions/>
  <pageMargins left="0.7" right="0.7" top="0.75" bottom="0.75" header="0.3" footer="0.3"/>
  <pageSetup horizontalDpi="600" verticalDpi="600" orientation="portrait" paperSize="9" scale="44" r:id="rId2"/>
  <headerFooter>
    <oddHeader>&amp;L&amp;G&amp;C.../2016 (X.26.) számú határozat
a Marcali Kistérségi Többcélú Társulás
2016. évi költségvetésének módosításáról</oddHeader>
    <oddFooter>&amp;C&amp;P. oldal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view="pageBreakPreview" zoomScale="70" zoomScaleSheetLayoutView="70" workbookViewId="0" topLeftCell="B1">
      <selection activeCell="E1" sqref="E1"/>
    </sheetView>
  </sheetViews>
  <sheetFormatPr defaultColWidth="9.140625" defaultRowHeight="15"/>
  <cols>
    <col min="1" max="1" width="70.8515625" style="0" customWidth="1"/>
    <col min="2" max="3" width="13.28125" style="0" customWidth="1"/>
    <col min="5" max="5" width="41.00390625" style="0" customWidth="1"/>
    <col min="6" max="7" width="13.140625" style="0" customWidth="1"/>
  </cols>
  <sheetData>
    <row r="1" spans="2:3" ht="15">
      <c r="B1" s="1"/>
      <c r="C1" s="1"/>
    </row>
    <row r="2" spans="1:7" ht="15.75" thickBot="1">
      <c r="A2" s="4" t="s">
        <v>52</v>
      </c>
      <c r="B2" s="4"/>
      <c r="C2" s="4"/>
      <c r="D2" s="12"/>
      <c r="E2" s="12"/>
      <c r="F2" s="12"/>
      <c r="G2" s="12"/>
    </row>
    <row r="3" spans="1:7" ht="15">
      <c r="A3" s="24" t="s">
        <v>2</v>
      </c>
      <c r="B3" s="25">
        <f>B4</f>
        <v>206620</v>
      </c>
      <c r="C3" s="25">
        <f>C4</f>
        <v>206620</v>
      </c>
      <c r="D3" s="29"/>
      <c r="E3" s="122" t="s">
        <v>49</v>
      </c>
      <c r="F3" s="147">
        <f>SUM(F4:F9)</f>
        <v>742557</v>
      </c>
      <c r="G3" s="147">
        <f>SUM(G4:G9)</f>
        <v>770621</v>
      </c>
    </row>
    <row r="4" spans="1:7" ht="15">
      <c r="A4" s="5" t="s">
        <v>3</v>
      </c>
      <c r="B4" s="6">
        <f>'1.sz.Bevételi források'!H6</f>
        <v>206620</v>
      </c>
      <c r="C4" s="6">
        <f>'1.sz.Bevételi források'!I6</f>
        <v>206620</v>
      </c>
      <c r="D4" s="30"/>
      <c r="E4" s="123" t="s">
        <v>17</v>
      </c>
      <c r="F4" s="7">
        <f>'2.szKiadás kiemelt jogcímenként'!H5</f>
        <v>457242</v>
      </c>
      <c r="G4" s="7">
        <f>'2.szKiadás kiemelt jogcímenként'!I5</f>
        <v>457242</v>
      </c>
    </row>
    <row r="5" spans="1:7" ht="15">
      <c r="A5" s="5"/>
      <c r="B5" s="6"/>
      <c r="C5" s="6"/>
      <c r="D5" s="30"/>
      <c r="E5" s="123" t="s">
        <v>18</v>
      </c>
      <c r="F5" s="7">
        <f>'2.szKiadás kiemelt jogcímenként'!H6</f>
        <v>107805</v>
      </c>
      <c r="G5" s="7">
        <f>'2.szKiadás kiemelt jogcímenként'!I6</f>
        <v>107805</v>
      </c>
    </row>
    <row r="6" spans="1:7" ht="15">
      <c r="A6" s="13" t="s">
        <v>131</v>
      </c>
      <c r="B6" s="14">
        <f>SUM(B7:B12)</f>
        <v>720125</v>
      </c>
      <c r="C6" s="14">
        <f>SUM(C7:C12)</f>
        <v>730661</v>
      </c>
      <c r="D6" s="30"/>
      <c r="E6" s="123" t="s">
        <v>19</v>
      </c>
      <c r="F6" s="7">
        <f>'2.szKiadás kiemelt jogcímenként'!H7</f>
        <v>162490</v>
      </c>
      <c r="G6" s="7">
        <f>'2.szKiadás kiemelt jogcímenként'!I7</f>
        <v>162490</v>
      </c>
    </row>
    <row r="7" spans="1:7" ht="15">
      <c r="A7" s="5" t="s">
        <v>135</v>
      </c>
      <c r="B7" s="6">
        <f>'1.sz.Bevételi források'!H9</f>
        <v>150323</v>
      </c>
      <c r="C7" s="6">
        <f>'1.sz.Bevételi források'!I9</f>
        <v>150323</v>
      </c>
      <c r="D7" s="30"/>
      <c r="E7" s="124" t="s">
        <v>120</v>
      </c>
      <c r="F7" s="7">
        <f>'2.szKiadás kiemelt jogcímenként'!H9</f>
        <v>13620</v>
      </c>
      <c r="G7" s="7">
        <f>'2.szKiadás kiemelt jogcímenként'!I9</f>
        <v>35772</v>
      </c>
    </row>
    <row r="8" spans="1:7" ht="15">
      <c r="A8" s="5" t="s">
        <v>136</v>
      </c>
      <c r="B8" s="6">
        <f>'1.sz.Bevételi források'!H10</f>
        <v>23424</v>
      </c>
      <c r="C8" s="6">
        <f>'1.sz.Bevételi források'!I10</f>
        <v>29336</v>
      </c>
      <c r="D8" s="30"/>
      <c r="E8" s="123" t="s">
        <v>121</v>
      </c>
      <c r="F8" s="7">
        <f>'2.szKiadás kiemelt jogcímenként'!H10</f>
        <v>1150</v>
      </c>
      <c r="G8" s="7">
        <f>'2.szKiadás kiemelt jogcímenként'!I10</f>
        <v>7062</v>
      </c>
    </row>
    <row r="9" spans="1:7" ht="15">
      <c r="A9" s="5" t="s">
        <v>137</v>
      </c>
      <c r="B9" s="6">
        <f>'1.sz.Bevételi források'!H11</f>
        <v>546378</v>
      </c>
      <c r="C9" s="6">
        <f>'1.sz.Bevételi források'!I11</f>
        <v>551002</v>
      </c>
      <c r="D9" s="30"/>
      <c r="E9" s="123" t="s">
        <v>111</v>
      </c>
      <c r="F9" s="7">
        <f>'2.szKiadás kiemelt jogcímenként'!H11</f>
        <v>250</v>
      </c>
      <c r="G9" s="7">
        <f>'2.szKiadás kiemelt jogcímenként'!I11</f>
        <v>250</v>
      </c>
    </row>
    <row r="10" spans="1:7" ht="15">
      <c r="A10" s="5" t="s">
        <v>138</v>
      </c>
      <c r="B10" s="6">
        <f>'1.sz.Bevételi források'!H12</f>
        <v>0</v>
      </c>
      <c r="C10" s="6">
        <f>'1.sz.Bevételi források'!I12</f>
        <v>0</v>
      </c>
      <c r="D10" s="30"/>
      <c r="E10" s="89"/>
      <c r="F10" s="7"/>
      <c r="G10" s="7"/>
    </row>
    <row r="11" spans="1:7" ht="15">
      <c r="A11" s="5" t="s">
        <v>139</v>
      </c>
      <c r="B11" s="6">
        <f>'1.sz.Bevételi források'!H13</f>
        <v>0</v>
      </c>
      <c r="C11" s="6">
        <f>'1.sz.Bevételi források'!I13</f>
        <v>0</v>
      </c>
      <c r="D11" s="30"/>
      <c r="E11" s="125" t="s">
        <v>158</v>
      </c>
      <c r="F11" s="148">
        <f>'2.szKiadás kiemelt jogcímenként'!H19-'3b sz.Felhalmozási mérleg'!F12</f>
        <v>50386</v>
      </c>
      <c r="G11" s="148">
        <f>'2.szKiadás kiemelt jogcímenként'!I19-'3b sz.Felhalmozási mérleg'!H12</f>
        <v>32940</v>
      </c>
    </row>
    <row r="12" spans="1:7" ht="15">
      <c r="A12" s="5" t="s">
        <v>140</v>
      </c>
      <c r="B12" s="6">
        <f>'1.sz.Bevételi források'!H14</f>
        <v>0</v>
      </c>
      <c r="C12" s="6">
        <f>'1.sz.Bevételi források'!I14</f>
        <v>0</v>
      </c>
      <c r="D12" s="30"/>
      <c r="E12" s="125" t="s">
        <v>159</v>
      </c>
      <c r="F12" s="148">
        <f>'2.szKiadás kiemelt jogcímenként'!H20-'3b sz.Felhalmozási mérleg'!F13</f>
        <v>9749</v>
      </c>
      <c r="G12" s="148">
        <f>'2.szKiadás kiemelt jogcímenként'!I20-'3b sz.Felhalmozási mérleg'!H13</f>
        <v>9749</v>
      </c>
    </row>
    <row r="13" spans="1:7" ht="15">
      <c r="A13" s="13" t="s">
        <v>132</v>
      </c>
      <c r="B13" s="14">
        <f>B14</f>
        <v>0</v>
      </c>
      <c r="C13" s="14">
        <f>C14</f>
        <v>0</v>
      </c>
      <c r="D13" s="30"/>
      <c r="E13" s="159" t="s">
        <v>191</v>
      </c>
      <c r="F13" s="168">
        <f>F14</f>
        <v>0</v>
      </c>
      <c r="G13" s="168">
        <f>G14</f>
        <v>0</v>
      </c>
    </row>
    <row r="14" spans="1:7" ht="25.5">
      <c r="A14" s="5" t="s">
        <v>148</v>
      </c>
      <c r="B14" s="6">
        <f>'1.sz.Bevételi források'!H16</f>
        <v>0</v>
      </c>
      <c r="C14" s="6">
        <f>'1.sz.Bevételi források'!I16</f>
        <v>0</v>
      </c>
      <c r="D14" s="30"/>
      <c r="E14" s="169" t="s">
        <v>193</v>
      </c>
      <c r="F14" s="7"/>
      <c r="G14" s="7"/>
    </row>
    <row r="15" spans="1:7" ht="15">
      <c r="A15" s="11"/>
      <c r="B15" s="6"/>
      <c r="C15" s="6"/>
      <c r="D15" s="30"/>
      <c r="E15" s="23"/>
      <c r="F15" s="149"/>
      <c r="G15" s="149"/>
    </row>
    <row r="16" spans="1:7" ht="15">
      <c r="A16" s="13" t="s">
        <v>133</v>
      </c>
      <c r="B16" s="14">
        <f>B17</f>
        <v>0</v>
      </c>
      <c r="C16" s="14">
        <f>C17</f>
        <v>0</v>
      </c>
      <c r="D16" s="30"/>
      <c r="E16" s="23"/>
      <c r="F16" s="149"/>
      <c r="G16" s="149"/>
    </row>
    <row r="17" spans="1:7" ht="15">
      <c r="A17" s="5" t="s">
        <v>153</v>
      </c>
      <c r="B17" s="6">
        <f>'1.sz.Bevételi források'!H20</f>
        <v>0</v>
      </c>
      <c r="C17" s="6">
        <f>'1.sz.Bevételi források'!I20</f>
        <v>0</v>
      </c>
      <c r="D17" s="30"/>
      <c r="E17" s="23"/>
      <c r="F17" s="149"/>
      <c r="G17" s="149"/>
    </row>
    <row r="18" spans="1:7" ht="15">
      <c r="A18" s="11"/>
      <c r="B18" s="6"/>
      <c r="C18" s="6"/>
      <c r="D18" s="30"/>
      <c r="E18" s="23"/>
      <c r="F18" s="149"/>
      <c r="G18" s="149"/>
    </row>
    <row r="19" spans="1:7" ht="15">
      <c r="A19" s="13" t="s">
        <v>152</v>
      </c>
      <c r="B19" s="14">
        <f>B20+B22</f>
        <v>13112</v>
      </c>
      <c r="C19" s="14">
        <f>C20+C22</f>
        <v>13194</v>
      </c>
      <c r="D19" s="30"/>
      <c r="E19" s="23"/>
      <c r="F19" s="149"/>
      <c r="G19" s="149"/>
    </row>
    <row r="20" spans="1:7" ht="15">
      <c r="A20" s="8" t="s">
        <v>6</v>
      </c>
      <c r="B20" s="6">
        <f>B21</f>
        <v>13112</v>
      </c>
      <c r="C20" s="6">
        <f>C21</f>
        <v>13194</v>
      </c>
      <c r="D20" s="30"/>
      <c r="E20" s="23"/>
      <c r="F20" s="149"/>
      <c r="G20" s="149"/>
    </row>
    <row r="21" spans="1:7" ht="15">
      <c r="A21" s="5" t="s">
        <v>7</v>
      </c>
      <c r="B21" s="6">
        <f>'1.sz.Bevételi források'!H41</f>
        <v>13112</v>
      </c>
      <c r="C21" s="6">
        <f>'1.sz.Bevételi források'!I41</f>
        <v>13194</v>
      </c>
      <c r="D21" s="30"/>
      <c r="E21" s="23"/>
      <c r="F21" s="149"/>
      <c r="G21" s="149"/>
    </row>
    <row r="22" spans="1:7" ht="15">
      <c r="A22" s="8" t="s">
        <v>9</v>
      </c>
      <c r="B22" s="6">
        <f>B23</f>
        <v>0</v>
      </c>
      <c r="C22" s="6">
        <f>C23</f>
        <v>0</v>
      </c>
      <c r="D22" s="30"/>
      <c r="E22" s="23"/>
      <c r="F22" s="149"/>
      <c r="G22" s="149"/>
    </row>
    <row r="23" spans="1:7" ht="15">
      <c r="A23" s="5" t="s">
        <v>10</v>
      </c>
      <c r="B23" s="6">
        <f>'1.sz.Bevételi források'!H44</f>
        <v>0</v>
      </c>
      <c r="C23" s="6">
        <f>'1.sz.Bevételi források'!I44</f>
        <v>0</v>
      </c>
      <c r="D23" s="30"/>
      <c r="E23" s="23"/>
      <c r="F23" s="149"/>
      <c r="G23" s="149"/>
    </row>
    <row r="24" spans="1:7" ht="15">
      <c r="A24" s="167" t="s">
        <v>188</v>
      </c>
      <c r="B24" s="14">
        <f>B25</f>
        <v>0</v>
      </c>
      <c r="C24" s="14">
        <f>C25</f>
        <v>0</v>
      </c>
      <c r="D24" s="30"/>
      <c r="E24" s="23"/>
      <c r="F24" s="149"/>
      <c r="G24" s="149"/>
    </row>
    <row r="25" spans="1:7" ht="15">
      <c r="A25" s="8" t="s">
        <v>189</v>
      </c>
      <c r="B25" s="6">
        <f>'1.sz.Bevételi források'!B47</f>
        <v>0</v>
      </c>
      <c r="C25" s="6">
        <f>'1.sz.Bevételi források'!C47</f>
        <v>0</v>
      </c>
      <c r="D25" s="30"/>
      <c r="E25" s="23"/>
      <c r="F25" s="149"/>
      <c r="G25" s="149"/>
    </row>
    <row r="26" spans="1:7" ht="15">
      <c r="A26" s="48" t="s">
        <v>26</v>
      </c>
      <c r="B26" s="49">
        <f>B19+B16+B13+B6+B3+B24</f>
        <v>939857</v>
      </c>
      <c r="C26" s="49">
        <f>C19+C16+C13+C6+C3+C24</f>
        <v>950475</v>
      </c>
      <c r="D26" s="30"/>
      <c r="E26" s="126" t="s">
        <v>28</v>
      </c>
      <c r="F26" s="50">
        <f>F3+F11+F12</f>
        <v>802692</v>
      </c>
      <c r="G26" s="50">
        <f>G3+G11+G12</f>
        <v>813310</v>
      </c>
    </row>
    <row r="27" spans="1:7" ht="15.75" thickBot="1">
      <c r="A27" s="43" t="s">
        <v>29</v>
      </c>
      <c r="B27" s="44">
        <f>IF(B26-F26&gt;0,B26-F26,"-----")</f>
        <v>137165</v>
      </c>
      <c r="C27" s="44">
        <f>IF(C26-G26&gt;0,C26-G26,"-----")</f>
        <v>137165</v>
      </c>
      <c r="D27" s="31"/>
      <c r="E27" s="91" t="s">
        <v>30</v>
      </c>
      <c r="F27" s="45" t="str">
        <f>IF(B26-F26&lt;0,B26-F26,"-----")</f>
        <v>-----</v>
      </c>
      <c r="G27" s="45" t="str">
        <f>IF(C26-G26&lt;0,C26-G26,"-----")</f>
        <v>-----</v>
      </c>
    </row>
  </sheetData>
  <sheetProtection/>
  <printOptions/>
  <pageMargins left="0.7" right="0.7" top="0.75" bottom="0.75" header="0.3" footer="0.3"/>
  <pageSetup horizontalDpi="600" verticalDpi="600" orientation="portrait" paperSize="9" scale="50" r:id="rId2"/>
  <headerFooter>
    <oddHeader>&amp;L&amp;G&amp;C.../2016 (X.26.) számú határozat
a Marcali Kistérségi Többcélú Társulás
2016. évi költségvetésének módosításáról</oddHeader>
    <oddFooter>&amp;C&amp;P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27"/>
  <sheetViews>
    <sheetView view="pageBreakPreview" zoomScale="60" workbookViewId="0" topLeftCell="A1">
      <selection activeCell="F31" sqref="F31"/>
    </sheetView>
  </sheetViews>
  <sheetFormatPr defaultColWidth="9.140625" defaultRowHeight="15"/>
  <cols>
    <col min="1" max="1" width="70.28125" style="0" customWidth="1"/>
    <col min="2" max="3" width="14.8515625" style="0" customWidth="1"/>
    <col min="5" max="5" width="41.00390625" style="0" customWidth="1"/>
    <col min="6" max="7" width="15.00390625" style="0" customWidth="1"/>
  </cols>
  <sheetData>
    <row r="2" spans="1:7" ht="15.75" thickBot="1">
      <c r="A2" s="4" t="s">
        <v>53</v>
      </c>
      <c r="B2" s="4"/>
      <c r="C2" s="4"/>
      <c r="D2" s="17"/>
      <c r="E2" s="17"/>
      <c r="F2" s="17"/>
      <c r="G2" s="17"/>
    </row>
    <row r="3" spans="1:7" ht="15">
      <c r="A3" s="24" t="s">
        <v>134</v>
      </c>
      <c r="B3" s="38">
        <f>SUM(B4:B9)</f>
        <v>0</v>
      </c>
      <c r="C3" s="38">
        <f>SUM(C4:C9)</f>
        <v>0</v>
      </c>
      <c r="D3" s="29"/>
      <c r="E3" s="26" t="s">
        <v>32</v>
      </c>
      <c r="F3" s="150">
        <f>SUM(F4:F6)</f>
        <v>137165</v>
      </c>
      <c r="G3" s="150">
        <f>SUM(G4:G6)</f>
        <v>137165</v>
      </c>
    </row>
    <row r="4" spans="1:7" ht="15">
      <c r="A4" s="5" t="s">
        <v>141</v>
      </c>
      <c r="B4" s="6">
        <f>'1.sz.Bevételi források'!H23</f>
        <v>0</v>
      </c>
      <c r="C4" s="6">
        <f>'1.sz.Bevételi források'!I23</f>
        <v>0</v>
      </c>
      <c r="D4" s="30"/>
      <c r="E4" s="22" t="s">
        <v>122</v>
      </c>
      <c r="F4" s="7">
        <f>'2.szKiadás kiemelt jogcímenként'!H14</f>
        <v>135768</v>
      </c>
      <c r="G4" s="7">
        <f>'2.szKiadás kiemelt jogcímenként'!I14</f>
        <v>13572</v>
      </c>
    </row>
    <row r="5" spans="1:7" ht="15">
      <c r="A5" s="5" t="s">
        <v>142</v>
      </c>
      <c r="B5" s="6">
        <f>'1.sz.Bevételi források'!H24</f>
        <v>0</v>
      </c>
      <c r="C5" s="6">
        <f>'1.sz.Bevételi források'!I24</f>
        <v>0</v>
      </c>
      <c r="D5" s="30"/>
      <c r="E5" s="22" t="s">
        <v>123</v>
      </c>
      <c r="F5" s="7">
        <f>'2.szKiadás kiemelt jogcímenként'!H15</f>
        <v>1397</v>
      </c>
      <c r="G5" s="7">
        <f>'2.szKiadás kiemelt jogcímenként'!I15</f>
        <v>1397</v>
      </c>
    </row>
    <row r="6" spans="1:7" ht="15">
      <c r="A6" s="5" t="s">
        <v>143</v>
      </c>
      <c r="B6" s="6">
        <f>'1.sz.Bevételi források'!H25</f>
        <v>0</v>
      </c>
      <c r="C6" s="6">
        <f>'1.sz.Bevételi források'!I25</f>
        <v>0</v>
      </c>
      <c r="D6" s="30"/>
      <c r="E6" s="22" t="s">
        <v>117</v>
      </c>
      <c r="F6" s="7">
        <f>'2.szKiadás kiemelt jogcímenként'!H16</f>
        <v>0</v>
      </c>
      <c r="G6" s="7">
        <f>'2.szKiadás kiemelt jogcímenként'!I16</f>
        <v>122196</v>
      </c>
    </row>
    <row r="7" spans="1:7" ht="15">
      <c r="A7" s="5" t="s">
        <v>144</v>
      </c>
      <c r="B7" s="6">
        <f>'1.sz.Bevételi források'!H26</f>
        <v>0</v>
      </c>
      <c r="C7" s="6">
        <f>'1.sz.Bevételi források'!I26</f>
        <v>0</v>
      </c>
      <c r="D7" s="30"/>
      <c r="E7" s="19" t="s">
        <v>114</v>
      </c>
      <c r="F7" s="7">
        <f>'2.szKiadás kiemelt jogcímenként'!H17</f>
        <v>0</v>
      </c>
      <c r="G7" s="7">
        <f>'2.szKiadás kiemelt jogcímenként'!I17</f>
        <v>122196</v>
      </c>
    </row>
    <row r="8" spans="1:7" ht="15">
      <c r="A8" s="5" t="s">
        <v>145</v>
      </c>
      <c r="B8" s="6">
        <f>'1.sz.Bevételi források'!H27</f>
        <v>0</v>
      </c>
      <c r="C8" s="6">
        <f>'1.sz.Bevételi források'!I27</f>
        <v>0</v>
      </c>
      <c r="D8" s="30"/>
      <c r="E8" s="19" t="s">
        <v>115</v>
      </c>
      <c r="F8" s="7">
        <f>'2.szKiadás kiemelt jogcímenként'!H18</f>
        <v>0</v>
      </c>
      <c r="G8" s="7">
        <f>'2.szKiadás kiemelt jogcímenként'!I18</f>
        <v>0</v>
      </c>
    </row>
    <row r="9" spans="1:7" ht="15">
      <c r="A9" s="5" t="s">
        <v>146</v>
      </c>
      <c r="B9" s="6">
        <f>'1.sz.Bevételi források'!H28</f>
        <v>0</v>
      </c>
      <c r="C9" s="6">
        <f>'1.sz.Bevételi források'!I28</f>
        <v>0</v>
      </c>
      <c r="D9" s="30"/>
      <c r="E9" s="18"/>
      <c r="F9" s="7"/>
      <c r="G9" s="7"/>
    </row>
    <row r="10" spans="1:7" ht="15">
      <c r="A10" s="5"/>
      <c r="B10" s="6"/>
      <c r="C10" s="6"/>
      <c r="D10" s="30"/>
      <c r="E10" s="18"/>
      <c r="F10" s="7"/>
      <c r="G10" s="7"/>
    </row>
    <row r="11" spans="1:7" ht="15">
      <c r="A11" s="39" t="s">
        <v>154</v>
      </c>
      <c r="B11" s="10">
        <f>SUM(B12:B13)</f>
        <v>0</v>
      </c>
      <c r="C11" s="10">
        <f>SUM(C12:C13)</f>
        <v>0</v>
      </c>
      <c r="D11" s="30"/>
      <c r="E11" s="129"/>
      <c r="F11" s="151"/>
      <c r="G11" s="151"/>
    </row>
    <row r="12" spans="1:7" ht="15">
      <c r="A12" s="33" t="s">
        <v>4</v>
      </c>
      <c r="B12" s="6">
        <f>'1.sz.Bevételi források'!H31</f>
        <v>0</v>
      </c>
      <c r="C12" s="6">
        <f>'1.sz.Bevételi források'!I31</f>
        <v>0</v>
      </c>
      <c r="D12" s="30"/>
      <c r="E12" s="27" t="s">
        <v>158</v>
      </c>
      <c r="F12" s="148"/>
      <c r="G12" s="148"/>
    </row>
    <row r="13" spans="1:7" ht="15">
      <c r="A13" s="33" t="s">
        <v>125</v>
      </c>
      <c r="B13" s="6">
        <f>'1.sz.Bevételi források'!H32</f>
        <v>0</v>
      </c>
      <c r="C13" s="6">
        <f>'1.sz.Bevételi források'!I32</f>
        <v>0</v>
      </c>
      <c r="D13" s="30"/>
      <c r="E13" s="27" t="s">
        <v>159</v>
      </c>
      <c r="F13" s="148"/>
      <c r="G13" s="148"/>
    </row>
    <row r="14" spans="1:7" ht="15">
      <c r="A14" s="33"/>
      <c r="B14" s="6"/>
      <c r="C14" s="6"/>
      <c r="D14" s="30"/>
      <c r="E14" s="159" t="s">
        <v>191</v>
      </c>
      <c r="F14" s="168">
        <f>F15</f>
        <v>122196</v>
      </c>
      <c r="G14" s="168">
        <f>G15</f>
        <v>122196</v>
      </c>
    </row>
    <row r="15" spans="1:7" ht="25.5">
      <c r="A15" s="33"/>
      <c r="B15" s="6"/>
      <c r="C15" s="6"/>
      <c r="D15" s="30"/>
      <c r="E15" s="169" t="s">
        <v>193</v>
      </c>
      <c r="F15" s="7">
        <v>122196</v>
      </c>
      <c r="G15" s="7">
        <v>122196</v>
      </c>
    </row>
    <row r="16" spans="1:7" ht="15">
      <c r="A16" s="13" t="s">
        <v>149</v>
      </c>
      <c r="B16" s="10">
        <f>B17</f>
        <v>0</v>
      </c>
      <c r="C16" s="10">
        <f>C17</f>
        <v>0</v>
      </c>
      <c r="D16" s="30"/>
      <c r="E16" s="23"/>
      <c r="F16" s="149"/>
      <c r="G16" s="149"/>
    </row>
    <row r="17" spans="1:7" ht="15">
      <c r="A17" s="5" t="s">
        <v>150</v>
      </c>
      <c r="B17" s="6">
        <f>'1.sz.Bevételi források'!H35</f>
        <v>0</v>
      </c>
      <c r="C17" s="6">
        <f>'1.sz.Bevételi források'!I35</f>
        <v>0</v>
      </c>
      <c r="D17" s="30"/>
      <c r="E17" s="23"/>
      <c r="F17" s="149"/>
      <c r="G17" s="149"/>
    </row>
    <row r="18" spans="1:7" ht="15">
      <c r="A18" s="33"/>
      <c r="B18" s="6"/>
      <c r="C18" s="6"/>
      <c r="D18" s="30"/>
      <c r="E18" s="23"/>
      <c r="F18" s="149"/>
      <c r="G18" s="149"/>
    </row>
    <row r="19" spans="1:7" ht="15">
      <c r="A19" s="39" t="s">
        <v>5</v>
      </c>
      <c r="B19" s="10">
        <f>B20+B22</f>
        <v>0</v>
      </c>
      <c r="C19" s="10">
        <f>C20+C22</f>
        <v>0</v>
      </c>
      <c r="D19" s="30"/>
      <c r="E19" s="23"/>
      <c r="F19" s="149"/>
      <c r="G19" s="149"/>
    </row>
    <row r="20" spans="1:7" ht="15">
      <c r="A20" s="32" t="s">
        <v>6</v>
      </c>
      <c r="B20" s="6">
        <f>B21</f>
        <v>0</v>
      </c>
      <c r="C20" s="6">
        <f>C21</f>
        <v>0</v>
      </c>
      <c r="D20" s="30"/>
      <c r="E20" s="23"/>
      <c r="F20" s="149"/>
      <c r="G20" s="149"/>
    </row>
    <row r="21" spans="1:7" ht="15">
      <c r="A21" s="33" t="s">
        <v>8</v>
      </c>
      <c r="B21" s="6">
        <f>'1.sz.Bevételi források'!H42</f>
        <v>0</v>
      </c>
      <c r="C21" s="6">
        <f>'1.sz.Bevételi források'!I42</f>
        <v>0</v>
      </c>
      <c r="D21" s="30"/>
      <c r="E21" s="23"/>
      <c r="F21" s="149"/>
      <c r="G21" s="149"/>
    </row>
    <row r="22" spans="1:7" ht="15">
      <c r="A22" s="32" t="s">
        <v>9</v>
      </c>
      <c r="B22" s="6">
        <f>B23</f>
        <v>0</v>
      </c>
      <c r="C22" s="6">
        <f>C23</f>
        <v>0</v>
      </c>
      <c r="D22" s="30"/>
      <c r="E22" s="23"/>
      <c r="F22" s="149"/>
      <c r="G22" s="149"/>
    </row>
    <row r="23" spans="1:7" ht="15">
      <c r="A23" s="33" t="s">
        <v>11</v>
      </c>
      <c r="B23" s="6">
        <f>'1.sz.Bevételi források'!H45</f>
        <v>0</v>
      </c>
      <c r="C23" s="6">
        <f>'1.sz.Bevételi források'!I45</f>
        <v>0</v>
      </c>
      <c r="D23" s="30"/>
      <c r="E23" s="23"/>
      <c r="F23" s="149"/>
      <c r="G23" s="149"/>
    </row>
    <row r="24" spans="1:7" ht="15">
      <c r="A24" s="167" t="s">
        <v>188</v>
      </c>
      <c r="B24" s="14">
        <f>B25</f>
        <v>122196</v>
      </c>
      <c r="C24" s="14">
        <f>C25</f>
        <v>122196</v>
      </c>
      <c r="D24" s="30"/>
      <c r="E24" s="23"/>
      <c r="F24" s="149"/>
      <c r="G24" s="149"/>
    </row>
    <row r="25" spans="1:7" ht="15">
      <c r="A25" s="8" t="s">
        <v>194</v>
      </c>
      <c r="B25" s="6">
        <f>'1.sz.Bevételi források'!B48</f>
        <v>122196</v>
      </c>
      <c r="C25" s="6">
        <f>'1.sz.Bevételi források'!C48</f>
        <v>122196</v>
      </c>
      <c r="D25" s="30"/>
      <c r="E25" s="23"/>
      <c r="F25" s="149"/>
      <c r="G25" s="149"/>
    </row>
    <row r="26" spans="1:7" ht="15">
      <c r="A26" s="51" t="s">
        <v>31</v>
      </c>
      <c r="B26" s="49">
        <f>B3+B11+B16+B19+B24</f>
        <v>122196</v>
      </c>
      <c r="C26" s="49">
        <f>C3+C11+C16+C19+C24</f>
        <v>122196</v>
      </c>
      <c r="D26" s="36"/>
      <c r="E26" s="49" t="s">
        <v>103</v>
      </c>
      <c r="F26" s="50">
        <f>F3+F11+F12+F13+F14</f>
        <v>259361</v>
      </c>
      <c r="G26" s="50">
        <f>G3+G11+G12+G13+G14</f>
        <v>259361</v>
      </c>
    </row>
    <row r="27" spans="1:7" ht="15.75" thickBot="1">
      <c r="A27" s="52" t="s">
        <v>105</v>
      </c>
      <c r="B27" s="44" t="str">
        <f>IF(B26-F26&gt;0,B26-F26,"-----")</f>
        <v>-----</v>
      </c>
      <c r="C27" s="44" t="str">
        <f>IF(C26-G26&gt;0,C26-G26,"-----")</f>
        <v>-----</v>
      </c>
      <c r="D27" s="37"/>
      <c r="E27" s="44" t="s">
        <v>104</v>
      </c>
      <c r="F27" s="45">
        <f>IF(B26-F26&lt;0,B26-F26,"-----")</f>
        <v>-137165</v>
      </c>
      <c r="G27" s="45">
        <f>IF(C26-G26&lt;0,C26-G26,"-----")</f>
        <v>-137165</v>
      </c>
    </row>
  </sheetData>
  <sheetProtection/>
  <printOptions/>
  <pageMargins left="0.7" right="0.7" top="0.75" bottom="0.75" header="0.3" footer="0.3"/>
  <pageSetup horizontalDpi="600" verticalDpi="600" orientation="portrait" paperSize="9" scale="48" r:id="rId2"/>
  <headerFooter>
    <oddHeader>&amp;L&amp;G&amp;C.../2016 (X.26.) számú határozat
a Marcali Kistérségi Többcélú Társulás
2016. évi költségvetésének módosításáról</oddHeader>
    <oddFooter>&amp;C&amp;P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F24"/>
  <sheetViews>
    <sheetView workbookViewId="0" topLeftCell="A1">
      <selection activeCell="F2" sqref="F2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5" width="12.00390625" style="0" customWidth="1"/>
    <col min="6" max="6" width="26.57421875" style="0" customWidth="1"/>
  </cols>
  <sheetData>
    <row r="3" spans="1:6" ht="15">
      <c r="A3" s="2" t="s">
        <v>54</v>
      </c>
      <c r="B3" s="2"/>
      <c r="C3" s="2"/>
      <c r="D3" s="2"/>
      <c r="E3" s="2"/>
      <c r="F3" s="3" t="s">
        <v>20</v>
      </c>
    </row>
    <row r="4" spans="1:6" ht="15.75" thickBot="1">
      <c r="A4" s="2" t="s">
        <v>107</v>
      </c>
      <c r="B4" s="2"/>
      <c r="C4" s="2"/>
      <c r="D4" s="2"/>
      <c r="E4" s="2"/>
      <c r="F4" s="3"/>
    </row>
    <row r="5" spans="1:6" ht="15" customHeight="1">
      <c r="A5" s="57" t="s">
        <v>21</v>
      </c>
      <c r="B5" s="188" t="s">
        <v>22</v>
      </c>
      <c r="C5" s="188" t="s">
        <v>165</v>
      </c>
      <c r="D5" s="188" t="s">
        <v>166</v>
      </c>
      <c r="E5" s="188" t="s">
        <v>167</v>
      </c>
      <c r="F5" s="190" t="s">
        <v>23</v>
      </c>
    </row>
    <row r="6" spans="1:6" ht="47.25" customHeight="1">
      <c r="A6" s="58" t="s">
        <v>24</v>
      </c>
      <c r="B6" s="189"/>
      <c r="C6" s="189"/>
      <c r="D6" s="189"/>
      <c r="E6" s="189"/>
      <c r="F6" s="191"/>
    </row>
    <row r="7" spans="1:6" ht="39.75" customHeight="1">
      <c r="A7" s="40" t="s">
        <v>13</v>
      </c>
      <c r="B7" s="114" t="s">
        <v>198</v>
      </c>
      <c r="C7" s="115">
        <v>1905</v>
      </c>
      <c r="D7" s="116">
        <v>534</v>
      </c>
      <c r="E7" s="116">
        <f>C7-D7</f>
        <v>1371</v>
      </c>
      <c r="F7" s="117" t="s">
        <v>199</v>
      </c>
    </row>
    <row r="8" spans="1:6" ht="26.25" customHeight="1">
      <c r="A8" s="113" t="s">
        <v>14</v>
      </c>
      <c r="B8" s="114" t="s">
        <v>201</v>
      </c>
      <c r="C8" s="115">
        <v>8055</v>
      </c>
      <c r="D8" s="116">
        <v>2971</v>
      </c>
      <c r="E8" s="116">
        <f>C8-D8</f>
        <v>5084</v>
      </c>
      <c r="F8" s="117" t="s">
        <v>200</v>
      </c>
    </row>
    <row r="9" spans="1:6" ht="26.25" customHeight="1">
      <c r="A9" s="113" t="s">
        <v>15</v>
      </c>
      <c r="B9" s="114" t="s">
        <v>202</v>
      </c>
      <c r="C9" s="115">
        <v>762</v>
      </c>
      <c r="D9" s="116">
        <v>0</v>
      </c>
      <c r="E9" s="116">
        <f>C9-D9</f>
        <v>762</v>
      </c>
      <c r="F9" s="117" t="s">
        <v>203</v>
      </c>
    </row>
    <row r="10" spans="1:6" ht="15.75" thickBot="1">
      <c r="A10" s="53"/>
      <c r="B10" s="46" t="s">
        <v>25</v>
      </c>
      <c r="C10" s="54">
        <f>SUM(C7:C9)</f>
        <v>10722</v>
      </c>
      <c r="D10" s="54">
        <f>SUM(D7:D9)</f>
        <v>3505</v>
      </c>
      <c r="E10" s="54">
        <f>SUM(E7:E9)</f>
        <v>7217</v>
      </c>
      <c r="F10" s="55"/>
    </row>
    <row r="12" ht="15.75" thickBot="1">
      <c r="A12" t="s">
        <v>0</v>
      </c>
    </row>
    <row r="13" spans="1:6" ht="15" customHeight="1">
      <c r="A13" s="57" t="s">
        <v>21</v>
      </c>
      <c r="B13" s="188" t="s">
        <v>22</v>
      </c>
      <c r="C13" s="188" t="s">
        <v>165</v>
      </c>
      <c r="D13" s="188" t="s">
        <v>166</v>
      </c>
      <c r="E13" s="188" t="s">
        <v>167</v>
      </c>
      <c r="F13" s="190" t="s">
        <v>23</v>
      </c>
    </row>
    <row r="14" spans="1:6" ht="47.25" customHeight="1">
      <c r="A14" s="58" t="s">
        <v>24</v>
      </c>
      <c r="B14" s="189"/>
      <c r="C14" s="189"/>
      <c r="D14" s="189"/>
      <c r="E14" s="189"/>
      <c r="F14" s="191"/>
    </row>
    <row r="15" spans="1:6" ht="30" customHeight="1">
      <c r="A15" s="113" t="s">
        <v>13</v>
      </c>
      <c r="B15" s="114" t="s">
        <v>196</v>
      </c>
      <c r="C15" s="115">
        <v>2500</v>
      </c>
      <c r="D15" s="116">
        <v>2500</v>
      </c>
      <c r="E15" s="116">
        <v>0</v>
      </c>
      <c r="F15" s="117" t="s">
        <v>181</v>
      </c>
    </row>
    <row r="16" spans="1:6" ht="43.5" customHeight="1">
      <c r="A16" s="113" t="s">
        <v>14</v>
      </c>
      <c r="B16" s="114"/>
      <c r="C16" s="115"/>
      <c r="D16" s="116"/>
      <c r="E16" s="116"/>
      <c r="F16" s="117"/>
    </row>
    <row r="17" spans="1:6" ht="15.75" thickBot="1">
      <c r="A17" s="53"/>
      <c r="B17" s="46" t="s">
        <v>25</v>
      </c>
      <c r="C17" s="54">
        <f>SUM(C15:C16)</f>
        <v>2500</v>
      </c>
      <c r="D17" s="54">
        <f>SUM(D15:D16)</f>
        <v>2500</v>
      </c>
      <c r="E17" s="54">
        <f>SUM(E15:E16)</f>
        <v>0</v>
      </c>
      <c r="F17" s="55"/>
    </row>
    <row r="19" ht="15.75" thickBot="1">
      <c r="A19" t="s">
        <v>173</v>
      </c>
    </row>
    <row r="20" spans="1:6" ht="15" customHeight="1">
      <c r="A20" s="57" t="s">
        <v>21</v>
      </c>
      <c r="B20" s="188" t="s">
        <v>22</v>
      </c>
      <c r="C20" s="188" t="s">
        <v>165</v>
      </c>
      <c r="D20" s="188" t="s">
        <v>166</v>
      </c>
      <c r="E20" s="188" t="s">
        <v>167</v>
      </c>
      <c r="F20" s="190" t="s">
        <v>23</v>
      </c>
    </row>
    <row r="21" spans="1:6" ht="39.75" customHeight="1">
      <c r="A21" s="58" t="s">
        <v>24</v>
      </c>
      <c r="B21" s="189"/>
      <c r="C21" s="189"/>
      <c r="D21" s="189"/>
      <c r="E21" s="189"/>
      <c r="F21" s="191"/>
    </row>
    <row r="22" spans="1:6" ht="25.5">
      <c r="A22" s="113" t="s">
        <v>13</v>
      </c>
      <c r="B22" s="114" t="s">
        <v>197</v>
      </c>
      <c r="C22" s="115">
        <v>350</v>
      </c>
      <c r="D22" s="116">
        <v>350</v>
      </c>
      <c r="E22" s="116"/>
      <c r="F22" s="117" t="s">
        <v>181</v>
      </c>
    </row>
    <row r="23" spans="1:6" ht="15">
      <c r="A23" s="113" t="s">
        <v>14</v>
      </c>
      <c r="B23" s="114"/>
      <c r="C23" s="115"/>
      <c r="D23" s="116"/>
      <c r="E23" s="116"/>
      <c r="F23" s="117"/>
    </row>
    <row r="24" spans="1:6" ht="15.75" thickBot="1">
      <c r="A24" s="53"/>
      <c r="B24" s="46" t="s">
        <v>25</v>
      </c>
      <c r="C24" s="54">
        <f>SUM(C22:C23)</f>
        <v>350</v>
      </c>
      <c r="D24" s="54">
        <f>SUM(D22:D23)</f>
        <v>350</v>
      </c>
      <c r="E24" s="54">
        <f>SUM(E22:E23)</f>
        <v>0</v>
      </c>
      <c r="F24" s="55"/>
    </row>
  </sheetData>
  <sheetProtection/>
  <mergeCells count="15">
    <mergeCell ref="B5:B6"/>
    <mergeCell ref="C5:C6"/>
    <mergeCell ref="D5:D6"/>
    <mergeCell ref="E5:E6"/>
    <mergeCell ref="F5:F6"/>
    <mergeCell ref="B13:B14"/>
    <mergeCell ref="C13:C14"/>
    <mergeCell ref="D13:D14"/>
    <mergeCell ref="E13:E14"/>
    <mergeCell ref="F13:F14"/>
    <mergeCell ref="F20:F21"/>
    <mergeCell ref="B20:B21"/>
    <mergeCell ref="C20:C21"/>
    <mergeCell ref="D20:D21"/>
    <mergeCell ref="E20:E21"/>
  </mergeCells>
  <printOptions/>
  <pageMargins left="0.7" right="0.7" top="0.75" bottom="0.75" header="0.3" footer="0.3"/>
  <pageSetup horizontalDpi="600" verticalDpi="600" orientation="landscape" paperSize="9" scale="86" r:id="rId2"/>
  <headerFooter>
    <oddHeader>&amp;L&amp;G&amp;C.../2016 (X.26.) számú határozat
a Marcali Kistérségi Többcélú Társulás
2016. évi költségvetésének módosításáról</oddHeader>
    <oddFooter>&amp;C&amp;P. oldal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AF48"/>
  <sheetViews>
    <sheetView zoomScale="80" zoomScaleNormal="80" workbookViewId="0" topLeftCell="N7">
      <selection activeCell="G17" sqref="G17"/>
    </sheetView>
  </sheetViews>
  <sheetFormatPr defaultColWidth="9.140625" defaultRowHeight="15"/>
  <cols>
    <col min="1" max="1" width="19.7109375" style="0" customWidth="1"/>
    <col min="2" max="3" width="9.28125" style="0" bestFit="1" customWidth="1"/>
    <col min="4" max="4" width="10.00390625" style="0" bestFit="1" customWidth="1"/>
    <col min="5" max="5" width="10.7109375" style="0" customWidth="1"/>
    <col min="6" max="6" width="11.57421875" style="0" customWidth="1"/>
    <col min="7" max="7" width="11.28125" style="0" customWidth="1"/>
    <col min="8" max="8" width="11.8515625" style="0" customWidth="1"/>
    <col min="9" max="9" width="12.57421875" style="0" customWidth="1"/>
    <col min="10" max="10" width="13.8515625" style="0" customWidth="1"/>
    <col min="11" max="11" width="12.00390625" style="0" bestFit="1" customWidth="1"/>
    <col min="12" max="12" width="10.7109375" style="0" customWidth="1"/>
    <col min="13" max="13" width="15.00390625" style="0" customWidth="1"/>
    <col min="14" max="14" width="12.00390625" style="0" bestFit="1" customWidth="1"/>
    <col min="15" max="15" width="12.00390625" style="0" customWidth="1"/>
    <col min="16" max="16" width="12.28125" style="0" customWidth="1"/>
    <col min="17" max="17" width="12.8515625" style="0" customWidth="1"/>
    <col min="18" max="18" width="12.57421875" style="0" customWidth="1"/>
    <col min="19" max="19" width="12.7109375" style="0" customWidth="1"/>
    <col min="20" max="20" width="11.57421875" style="0" customWidth="1"/>
    <col min="21" max="21" width="9.28125" style="0" customWidth="1"/>
    <col min="22" max="22" width="10.421875" style="0" customWidth="1"/>
    <col min="23" max="23" width="12.140625" style="0" customWidth="1"/>
    <col min="24" max="25" width="14.28125" style="0" customWidth="1"/>
    <col min="26" max="26" width="13.421875" style="0" customWidth="1"/>
    <col min="27" max="27" width="17.140625" style="0" customWidth="1"/>
    <col min="30" max="30" width="9.7109375" style="0" bestFit="1" customWidth="1"/>
    <col min="32" max="32" width="13.421875" style="0" customWidth="1"/>
    <col min="34" max="34" width="9.7109375" style="0" bestFit="1" customWidth="1"/>
    <col min="35" max="35" width="10.57421875" style="0" bestFit="1" customWidth="1"/>
    <col min="37" max="37" width="11.28125" style="0" customWidth="1"/>
    <col min="42" max="42" width="12.7109375" style="0" customWidth="1"/>
    <col min="43" max="43" width="14.140625" style="0" customWidth="1"/>
  </cols>
  <sheetData>
    <row r="2" spans="1:20" ht="15">
      <c r="A2" s="4" t="s">
        <v>161</v>
      </c>
      <c r="G2" s="143">
        <v>215</v>
      </c>
      <c r="H2" s="143">
        <v>125</v>
      </c>
      <c r="I2" s="143">
        <v>910</v>
      </c>
      <c r="J2" s="143">
        <f>SUM(G2:I2)</f>
        <v>1250</v>
      </c>
      <c r="K2" s="143">
        <f>J2-G2</f>
        <v>1035</v>
      </c>
      <c r="N2" s="156">
        <v>250</v>
      </c>
      <c r="T2" s="143">
        <v>150</v>
      </c>
    </row>
    <row r="3" spans="1:26" ht="15.75" thickBot="1">
      <c r="A3" s="192" t="s">
        <v>213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6" ht="76.5">
      <c r="A4" s="193"/>
      <c r="B4" s="194"/>
      <c r="C4" s="195" t="s">
        <v>160</v>
      </c>
      <c r="D4" s="196"/>
      <c r="E4" s="196"/>
      <c r="F4" s="197"/>
      <c r="G4" s="110" t="s">
        <v>98</v>
      </c>
      <c r="H4" s="119" t="s">
        <v>204</v>
      </c>
      <c r="I4" s="119" t="s">
        <v>99</v>
      </c>
      <c r="J4" s="119" t="s">
        <v>175</v>
      </c>
      <c r="K4" s="119" t="s">
        <v>179</v>
      </c>
      <c r="L4" s="119" t="s">
        <v>183</v>
      </c>
      <c r="M4" s="119" t="s">
        <v>126</v>
      </c>
      <c r="N4" s="119" t="s">
        <v>56</v>
      </c>
      <c r="O4" s="119" t="s">
        <v>185</v>
      </c>
      <c r="P4" s="119" t="s">
        <v>186</v>
      </c>
      <c r="Q4" s="119" t="s">
        <v>171</v>
      </c>
      <c r="R4" s="119" t="s">
        <v>176</v>
      </c>
      <c r="S4" s="119" t="s">
        <v>177</v>
      </c>
      <c r="T4" s="119" t="s">
        <v>170</v>
      </c>
      <c r="U4" s="119" t="s">
        <v>187</v>
      </c>
      <c r="V4" s="119" t="s">
        <v>180</v>
      </c>
      <c r="W4" s="119" t="s">
        <v>172</v>
      </c>
      <c r="X4" s="119" t="s">
        <v>127</v>
      </c>
      <c r="Y4" s="110" t="s">
        <v>214</v>
      </c>
      <c r="Z4" s="92" t="s">
        <v>1</v>
      </c>
    </row>
    <row r="5" spans="1:26" ht="26.25">
      <c r="A5" s="198" t="s">
        <v>100</v>
      </c>
      <c r="B5" s="199"/>
      <c r="C5" s="140" t="s">
        <v>174</v>
      </c>
      <c r="D5" s="137">
        <v>100</v>
      </c>
      <c r="E5" s="121" t="s">
        <v>184</v>
      </c>
      <c r="F5" s="137" t="s">
        <v>1</v>
      </c>
      <c r="G5" s="137">
        <v>2016</v>
      </c>
      <c r="H5" s="139">
        <v>2016</v>
      </c>
      <c r="I5" s="137">
        <v>2016</v>
      </c>
      <c r="J5" s="139">
        <v>2016</v>
      </c>
      <c r="K5" s="137">
        <v>2016</v>
      </c>
      <c r="L5" s="137"/>
      <c r="M5" s="137" t="s">
        <v>1</v>
      </c>
      <c r="N5" s="137">
        <v>2015</v>
      </c>
      <c r="O5" s="144"/>
      <c r="P5" s="138"/>
      <c r="Q5" s="139">
        <v>2015</v>
      </c>
      <c r="R5" s="146">
        <v>2015</v>
      </c>
      <c r="S5" s="139">
        <v>2015</v>
      </c>
      <c r="T5" s="137">
        <v>2016</v>
      </c>
      <c r="U5" s="144"/>
      <c r="V5" s="155"/>
      <c r="W5" s="138"/>
      <c r="X5" s="137">
        <v>2012</v>
      </c>
      <c r="Y5" s="184"/>
      <c r="Z5" s="93"/>
    </row>
    <row r="6" spans="1:27" ht="15">
      <c r="A6" s="94" t="s">
        <v>57</v>
      </c>
      <c r="B6" s="152">
        <v>1172</v>
      </c>
      <c r="C6" s="67"/>
      <c r="D6" s="6">
        <f aca="true" t="shared" si="0" ref="D6:D43">B6*D$5</f>
        <v>117200</v>
      </c>
      <c r="E6" s="6">
        <v>0</v>
      </c>
      <c r="F6" s="6">
        <f aca="true" t="shared" si="1" ref="F6:F43">D6+E6</f>
        <v>117200</v>
      </c>
      <c r="G6" s="6"/>
      <c r="H6" s="6">
        <f aca="true" t="shared" si="2" ref="H6:H43">B6*H$2</f>
        <v>146500</v>
      </c>
      <c r="I6" s="6"/>
      <c r="J6" s="6"/>
      <c r="K6" s="6"/>
      <c r="L6" s="6">
        <v>0</v>
      </c>
      <c r="M6" s="6">
        <f>H6+I6+K6+L6+J6</f>
        <v>146500</v>
      </c>
      <c r="N6" s="6">
        <f aca="true" t="shared" si="3" ref="N6:N29">B6*N$2</f>
        <v>293000</v>
      </c>
      <c r="O6" s="6">
        <v>0</v>
      </c>
      <c r="P6" s="6">
        <v>0</v>
      </c>
      <c r="Q6" s="6"/>
      <c r="R6" s="6"/>
      <c r="S6" s="6">
        <f aca="true" t="shared" si="4" ref="S6:S43">SUM(P6:R6)</f>
        <v>0</v>
      </c>
      <c r="T6" s="6">
        <f aca="true" t="shared" si="5" ref="T6:T12">B6*T$2</f>
        <v>175800</v>
      </c>
      <c r="U6" s="6">
        <v>0</v>
      </c>
      <c r="V6" s="6"/>
      <c r="W6" s="6"/>
      <c r="X6" s="6"/>
      <c r="Y6" s="89"/>
      <c r="Z6" s="95">
        <f aca="true" t="shared" si="6" ref="Z6:Z25">M6+F6+X6+N6+T6+W6+S6+U6+O6+V6+G6+Y6</f>
        <v>732500</v>
      </c>
      <c r="AA6" s="186" t="s">
        <v>57</v>
      </c>
    </row>
    <row r="7" spans="1:27" ht="15">
      <c r="A7" s="94" t="s">
        <v>58</v>
      </c>
      <c r="B7" s="153">
        <v>1638</v>
      </c>
      <c r="C7" s="67"/>
      <c r="D7" s="6">
        <f t="shared" si="0"/>
        <v>163800</v>
      </c>
      <c r="E7" s="6">
        <v>0</v>
      </c>
      <c r="F7" s="6">
        <f t="shared" si="1"/>
        <v>163800</v>
      </c>
      <c r="G7" s="6">
        <f>B7*$G$2</f>
        <v>352170</v>
      </c>
      <c r="H7" s="6">
        <f t="shared" si="2"/>
        <v>204750</v>
      </c>
      <c r="I7" s="6"/>
      <c r="J7" s="6"/>
      <c r="K7" s="6"/>
      <c r="L7" s="6">
        <v>-0.29082883754745126</v>
      </c>
      <c r="M7" s="6">
        <f aca="true" t="shared" si="7" ref="M7:M42">H7+I7+K7+L7+J7</f>
        <v>204749.70917116245</v>
      </c>
      <c r="N7" s="6">
        <f t="shared" si="3"/>
        <v>409500</v>
      </c>
      <c r="O7" s="6">
        <v>0</v>
      </c>
      <c r="P7" s="6">
        <v>0</v>
      </c>
      <c r="Q7" s="6">
        <v>2303400</v>
      </c>
      <c r="R7" s="6"/>
      <c r="S7" s="6">
        <f t="shared" si="4"/>
        <v>2303400</v>
      </c>
      <c r="T7" s="6">
        <f t="shared" si="5"/>
        <v>245700</v>
      </c>
      <c r="U7" s="6">
        <v>0</v>
      </c>
      <c r="V7" s="6"/>
      <c r="W7" s="6"/>
      <c r="X7" s="6"/>
      <c r="Y7" s="89">
        <v>-1049440</v>
      </c>
      <c r="Z7" s="95">
        <f t="shared" si="6"/>
        <v>2629879.7091711625</v>
      </c>
      <c r="AA7" s="185" t="s">
        <v>58</v>
      </c>
    </row>
    <row r="8" spans="1:27" ht="15">
      <c r="A8" s="94" t="s">
        <v>59</v>
      </c>
      <c r="B8" s="152">
        <v>790</v>
      </c>
      <c r="C8" s="67"/>
      <c r="D8" s="6">
        <f t="shared" si="0"/>
        <v>79000</v>
      </c>
      <c r="E8" s="6">
        <v>0</v>
      </c>
      <c r="F8" s="6">
        <f t="shared" si="1"/>
        <v>79000</v>
      </c>
      <c r="G8" s="6">
        <f>B8*$G$2</f>
        <v>169850</v>
      </c>
      <c r="H8" s="6">
        <f t="shared" si="2"/>
        <v>98750</v>
      </c>
      <c r="I8" s="6"/>
      <c r="J8" s="6"/>
      <c r="K8" s="6"/>
      <c r="L8" s="6">
        <v>0.32663070142734796</v>
      </c>
      <c r="M8" s="6">
        <f t="shared" si="7"/>
        <v>98750.32663070143</v>
      </c>
      <c r="N8" s="6">
        <f t="shared" si="3"/>
        <v>197500</v>
      </c>
      <c r="O8" s="6">
        <v>0</v>
      </c>
      <c r="P8" s="6">
        <v>0</v>
      </c>
      <c r="Q8" s="6">
        <v>1511600</v>
      </c>
      <c r="R8" s="6"/>
      <c r="S8" s="6">
        <f t="shared" si="4"/>
        <v>1511600</v>
      </c>
      <c r="T8" s="6">
        <f t="shared" si="5"/>
        <v>118500</v>
      </c>
      <c r="U8" s="6">
        <v>0</v>
      </c>
      <c r="V8" s="6"/>
      <c r="W8" s="6"/>
      <c r="X8" s="6"/>
      <c r="Y8" s="89">
        <v>-824560</v>
      </c>
      <c r="Z8" s="95">
        <f t="shared" si="6"/>
        <v>1350640.3266307013</v>
      </c>
      <c r="AA8" s="10" t="s">
        <v>59</v>
      </c>
    </row>
    <row r="9" spans="1:27" ht="15">
      <c r="A9" s="94" t="s">
        <v>60</v>
      </c>
      <c r="B9" s="153">
        <v>1667</v>
      </c>
      <c r="C9" s="67"/>
      <c r="D9" s="6">
        <f t="shared" si="0"/>
        <v>166700</v>
      </c>
      <c r="E9" s="6">
        <v>0</v>
      </c>
      <c r="F9" s="6">
        <f t="shared" si="1"/>
        <v>166700</v>
      </c>
      <c r="G9" s="6"/>
      <c r="H9" s="6">
        <f t="shared" si="2"/>
        <v>208375</v>
      </c>
      <c r="I9" s="6"/>
      <c r="J9" s="6"/>
      <c r="K9" s="6"/>
      <c r="L9" s="6">
        <v>0</v>
      </c>
      <c r="M9" s="6">
        <f t="shared" si="7"/>
        <v>208375</v>
      </c>
      <c r="N9" s="6">
        <f t="shared" si="3"/>
        <v>416750</v>
      </c>
      <c r="O9" s="6">
        <v>0</v>
      </c>
      <c r="P9" s="6">
        <v>0</v>
      </c>
      <c r="Q9" s="6"/>
      <c r="R9" s="6"/>
      <c r="S9" s="6">
        <f t="shared" si="4"/>
        <v>0</v>
      </c>
      <c r="T9" s="6">
        <f t="shared" si="5"/>
        <v>250050</v>
      </c>
      <c r="U9" s="6">
        <v>0</v>
      </c>
      <c r="V9" s="6"/>
      <c r="W9" s="6"/>
      <c r="X9" s="6"/>
      <c r="Y9" s="89"/>
      <c r="Z9" s="95">
        <f t="shared" si="6"/>
        <v>1041875</v>
      </c>
      <c r="AA9" s="185" t="s">
        <v>60</v>
      </c>
    </row>
    <row r="10" spans="1:27" ht="15">
      <c r="A10" s="94" t="s">
        <v>61</v>
      </c>
      <c r="B10" s="152">
        <v>493</v>
      </c>
      <c r="C10" s="67"/>
      <c r="D10" s="6">
        <f t="shared" si="0"/>
        <v>49300</v>
      </c>
      <c r="E10" s="6">
        <v>0</v>
      </c>
      <c r="F10" s="6">
        <f t="shared" si="1"/>
        <v>49300</v>
      </c>
      <c r="G10" s="6">
        <f aca="true" t="shared" si="8" ref="G10:G15">B10*$G$2</f>
        <v>105995</v>
      </c>
      <c r="H10" s="6">
        <f t="shared" si="2"/>
        <v>61625</v>
      </c>
      <c r="I10" s="6"/>
      <c r="J10" s="6"/>
      <c r="K10" s="6"/>
      <c r="L10" s="6">
        <v>-0.2844531632727012</v>
      </c>
      <c r="M10" s="6">
        <f t="shared" si="7"/>
        <v>61624.71554683673</v>
      </c>
      <c r="N10" s="6">
        <f t="shared" si="3"/>
        <v>123250</v>
      </c>
      <c r="O10" s="6">
        <v>0</v>
      </c>
      <c r="P10" s="6">
        <v>0</v>
      </c>
      <c r="Q10" s="6"/>
      <c r="R10" s="6"/>
      <c r="S10" s="6">
        <f t="shared" si="4"/>
        <v>0</v>
      </c>
      <c r="T10" s="6">
        <f t="shared" si="5"/>
        <v>73950</v>
      </c>
      <c r="U10" s="6">
        <v>0</v>
      </c>
      <c r="V10" s="6"/>
      <c r="W10" s="6"/>
      <c r="X10" s="6"/>
      <c r="Y10" s="89"/>
      <c r="Z10" s="95">
        <f t="shared" si="6"/>
        <v>414119.7155468367</v>
      </c>
      <c r="AA10" s="10" t="s">
        <v>61</v>
      </c>
    </row>
    <row r="11" spans="1:27" ht="15">
      <c r="A11" s="94" t="s">
        <v>62</v>
      </c>
      <c r="B11" s="153">
        <v>2346</v>
      </c>
      <c r="C11" s="67"/>
      <c r="D11" s="6">
        <f t="shared" si="0"/>
        <v>234600</v>
      </c>
      <c r="E11" s="6">
        <v>0</v>
      </c>
      <c r="F11" s="6">
        <f t="shared" si="1"/>
        <v>234600</v>
      </c>
      <c r="G11" s="6">
        <f t="shared" si="8"/>
        <v>504390</v>
      </c>
      <c r="H11" s="6">
        <f t="shared" si="2"/>
        <v>293250</v>
      </c>
      <c r="I11" s="6"/>
      <c r="J11" s="6"/>
      <c r="K11" s="6"/>
      <c r="L11" s="6">
        <v>0.2721922511700541</v>
      </c>
      <c r="M11" s="6">
        <f t="shared" si="7"/>
        <v>293250.27219225117</v>
      </c>
      <c r="N11" s="6">
        <f t="shared" si="3"/>
        <v>586500</v>
      </c>
      <c r="O11" s="6">
        <v>0</v>
      </c>
      <c r="P11" s="6">
        <v>0</v>
      </c>
      <c r="Q11" s="6"/>
      <c r="R11" s="6"/>
      <c r="S11" s="6">
        <f t="shared" si="4"/>
        <v>0</v>
      </c>
      <c r="T11" s="6">
        <f t="shared" si="5"/>
        <v>351900</v>
      </c>
      <c r="U11" s="6">
        <v>0</v>
      </c>
      <c r="V11" s="6"/>
      <c r="W11" s="6"/>
      <c r="X11" s="6"/>
      <c r="Y11" s="89"/>
      <c r="Z11" s="95">
        <f t="shared" si="6"/>
        <v>1970640.2721922512</v>
      </c>
      <c r="AA11" s="185" t="s">
        <v>62</v>
      </c>
    </row>
    <row r="12" spans="1:27" ht="15">
      <c r="A12" s="94" t="s">
        <v>63</v>
      </c>
      <c r="B12" s="152">
        <v>290</v>
      </c>
      <c r="C12" s="67"/>
      <c r="D12" s="6">
        <f t="shared" si="0"/>
        <v>29000</v>
      </c>
      <c r="E12" s="6">
        <v>0</v>
      </c>
      <c r="F12" s="6">
        <f t="shared" si="1"/>
        <v>29000</v>
      </c>
      <c r="G12" s="6">
        <f t="shared" si="8"/>
        <v>62350</v>
      </c>
      <c r="H12" s="6">
        <f t="shared" si="2"/>
        <v>36250</v>
      </c>
      <c r="I12" s="6">
        <f>B12*$I$2</f>
        <v>263900</v>
      </c>
      <c r="J12" s="6"/>
      <c r="K12" s="6"/>
      <c r="L12" s="6">
        <v>0.45463462482439354</v>
      </c>
      <c r="M12" s="6">
        <f t="shared" si="7"/>
        <v>300150.4546346248</v>
      </c>
      <c r="N12" s="6">
        <f t="shared" si="3"/>
        <v>72500</v>
      </c>
      <c r="O12" s="6">
        <v>0</v>
      </c>
      <c r="P12" s="6">
        <v>0</v>
      </c>
      <c r="Q12" s="6"/>
      <c r="R12" s="6"/>
      <c r="S12" s="6">
        <f t="shared" si="4"/>
        <v>0</v>
      </c>
      <c r="T12" s="6">
        <f t="shared" si="5"/>
        <v>43500</v>
      </c>
      <c r="U12" s="6">
        <v>0</v>
      </c>
      <c r="V12" s="6"/>
      <c r="W12" s="6"/>
      <c r="X12" s="6"/>
      <c r="Y12" s="89"/>
      <c r="Z12" s="95">
        <f t="shared" si="6"/>
        <v>507500.4546346248</v>
      </c>
      <c r="AA12" s="10" t="s">
        <v>63</v>
      </c>
    </row>
    <row r="13" spans="1:27" ht="15">
      <c r="A13" s="94" t="s">
        <v>64</v>
      </c>
      <c r="B13" s="153">
        <v>316</v>
      </c>
      <c r="C13" s="67"/>
      <c r="D13" s="6">
        <f t="shared" si="0"/>
        <v>31600</v>
      </c>
      <c r="E13" s="6">
        <v>588000</v>
      </c>
      <c r="F13" s="6">
        <f t="shared" si="1"/>
        <v>619600</v>
      </c>
      <c r="G13" s="6">
        <f t="shared" si="8"/>
        <v>67940</v>
      </c>
      <c r="H13" s="6">
        <f t="shared" si="2"/>
        <v>39500</v>
      </c>
      <c r="I13" s="6"/>
      <c r="J13" s="6"/>
      <c r="K13" s="6"/>
      <c r="L13" s="6">
        <v>19750.234919078008</v>
      </c>
      <c r="M13" s="6">
        <f t="shared" si="7"/>
        <v>59250.23491907801</v>
      </c>
      <c r="N13" s="6">
        <f t="shared" si="3"/>
        <v>79000</v>
      </c>
      <c r="O13" s="6">
        <v>253200</v>
      </c>
      <c r="P13" s="6">
        <v>0</v>
      </c>
      <c r="Q13" s="6"/>
      <c r="R13" s="6"/>
      <c r="S13" s="6">
        <f t="shared" si="4"/>
        <v>0</v>
      </c>
      <c r="T13" s="6">
        <v>0</v>
      </c>
      <c r="U13" s="6">
        <v>0</v>
      </c>
      <c r="V13" s="6"/>
      <c r="W13" s="6"/>
      <c r="X13" s="6"/>
      <c r="Y13" s="89"/>
      <c r="Z13" s="95">
        <f t="shared" si="6"/>
        <v>1078990.234919078</v>
      </c>
      <c r="AA13" s="185" t="s">
        <v>64</v>
      </c>
    </row>
    <row r="14" spans="1:27" ht="15">
      <c r="A14" s="94" t="s">
        <v>65</v>
      </c>
      <c r="B14" s="152">
        <v>88</v>
      </c>
      <c r="C14" s="67"/>
      <c r="D14" s="6">
        <f t="shared" si="0"/>
        <v>8800</v>
      </c>
      <c r="E14" s="6">
        <v>0</v>
      </c>
      <c r="F14" s="6">
        <f t="shared" si="1"/>
        <v>8800</v>
      </c>
      <c r="G14" s="6">
        <f t="shared" si="8"/>
        <v>18920</v>
      </c>
      <c r="H14" s="6">
        <f t="shared" si="2"/>
        <v>11000</v>
      </c>
      <c r="I14" s="6"/>
      <c r="J14" s="6"/>
      <c r="K14" s="6"/>
      <c r="L14" s="6">
        <v>-0.14516920058667893</v>
      </c>
      <c r="M14" s="6">
        <f t="shared" si="7"/>
        <v>10999.854830799413</v>
      </c>
      <c r="N14" s="6">
        <f t="shared" si="3"/>
        <v>22000</v>
      </c>
      <c r="O14" s="6">
        <v>0</v>
      </c>
      <c r="P14" s="6">
        <v>0</v>
      </c>
      <c r="Q14" s="6"/>
      <c r="R14" s="6"/>
      <c r="S14" s="6">
        <f t="shared" si="4"/>
        <v>0</v>
      </c>
      <c r="T14" s="6">
        <f>B14*T$2</f>
        <v>13200</v>
      </c>
      <c r="U14" s="6">
        <v>0</v>
      </c>
      <c r="V14" s="6"/>
      <c r="W14" s="6"/>
      <c r="X14" s="6"/>
      <c r="Y14" s="89"/>
      <c r="Z14" s="95">
        <f t="shared" si="6"/>
        <v>73919.85483079942</v>
      </c>
      <c r="AA14" s="10" t="s">
        <v>65</v>
      </c>
    </row>
    <row r="15" spans="1:27" ht="15">
      <c r="A15" s="94" t="s">
        <v>66</v>
      </c>
      <c r="B15" s="153">
        <v>342</v>
      </c>
      <c r="C15" s="67"/>
      <c r="D15" s="6">
        <f t="shared" si="0"/>
        <v>34200</v>
      </c>
      <c r="E15" s="6">
        <v>0</v>
      </c>
      <c r="F15" s="6">
        <f t="shared" si="1"/>
        <v>34200</v>
      </c>
      <c r="G15" s="6">
        <f t="shared" si="8"/>
        <v>73530</v>
      </c>
      <c r="H15" s="6">
        <f t="shared" si="2"/>
        <v>42750</v>
      </c>
      <c r="I15" s="6"/>
      <c r="J15" s="6"/>
      <c r="K15" s="6"/>
      <c r="L15" s="6">
        <v>0.28151054441696033</v>
      </c>
      <c r="M15" s="6">
        <f t="shared" si="7"/>
        <v>42750.28151054442</v>
      </c>
      <c r="N15" s="6">
        <f t="shared" si="3"/>
        <v>85500</v>
      </c>
      <c r="O15" s="6">
        <v>0</v>
      </c>
      <c r="P15" s="6">
        <v>0</v>
      </c>
      <c r="Q15" s="6"/>
      <c r="R15" s="6"/>
      <c r="S15" s="6">
        <f t="shared" si="4"/>
        <v>0</v>
      </c>
      <c r="T15" s="6">
        <v>0</v>
      </c>
      <c r="U15" s="6">
        <v>0</v>
      </c>
      <c r="V15" s="6"/>
      <c r="W15" s="6"/>
      <c r="X15" s="6"/>
      <c r="Y15" s="89"/>
      <c r="Z15" s="95">
        <f t="shared" si="6"/>
        <v>235980.28151054442</v>
      </c>
      <c r="AA15" s="185" t="s">
        <v>66</v>
      </c>
    </row>
    <row r="16" spans="1:27" ht="15">
      <c r="A16" s="94" t="s">
        <v>67</v>
      </c>
      <c r="B16" s="152">
        <v>268</v>
      </c>
      <c r="C16" s="67"/>
      <c r="D16" s="6">
        <f t="shared" si="0"/>
        <v>26800</v>
      </c>
      <c r="E16" s="6">
        <v>0</v>
      </c>
      <c r="F16" s="6">
        <f t="shared" si="1"/>
        <v>26800</v>
      </c>
      <c r="G16" s="6"/>
      <c r="H16" s="6">
        <f t="shared" si="2"/>
        <v>33500</v>
      </c>
      <c r="I16" s="6"/>
      <c r="J16" s="6"/>
      <c r="K16" s="6"/>
      <c r="L16" s="6">
        <v>0</v>
      </c>
      <c r="M16" s="6">
        <f t="shared" si="7"/>
        <v>33500</v>
      </c>
      <c r="N16" s="6">
        <f t="shared" si="3"/>
        <v>67000</v>
      </c>
      <c r="O16" s="6">
        <v>0</v>
      </c>
      <c r="P16" s="6">
        <v>0</v>
      </c>
      <c r="Q16" s="6"/>
      <c r="R16" s="6"/>
      <c r="S16" s="6">
        <f t="shared" si="4"/>
        <v>0</v>
      </c>
      <c r="T16" s="6">
        <f>B16*T$2</f>
        <v>40200</v>
      </c>
      <c r="U16" s="6">
        <v>0</v>
      </c>
      <c r="V16" s="6"/>
      <c r="W16" s="6"/>
      <c r="X16" s="6"/>
      <c r="Y16" s="89"/>
      <c r="Z16" s="95">
        <f t="shared" si="6"/>
        <v>167500</v>
      </c>
      <c r="AA16" s="10" t="s">
        <v>67</v>
      </c>
    </row>
    <row r="17" spans="1:27" ht="15">
      <c r="A17" s="94" t="s">
        <v>68</v>
      </c>
      <c r="B17" s="153">
        <v>52</v>
      </c>
      <c r="C17" s="67"/>
      <c r="D17" s="6">
        <f t="shared" si="0"/>
        <v>5200</v>
      </c>
      <c r="E17" s="6">
        <v>0</v>
      </c>
      <c r="F17" s="6">
        <f t="shared" si="1"/>
        <v>5200</v>
      </c>
      <c r="G17" s="6">
        <f aca="true" t="shared" si="9" ref="G17:G39">B17*$G$2</f>
        <v>11180</v>
      </c>
      <c r="H17" s="6">
        <f t="shared" si="2"/>
        <v>6500</v>
      </c>
      <c r="I17" s="6"/>
      <c r="J17" s="6"/>
      <c r="K17" s="6"/>
      <c r="L17" s="6">
        <v>0.055909759688802296</v>
      </c>
      <c r="M17" s="6">
        <f t="shared" si="7"/>
        <v>6500.055909759689</v>
      </c>
      <c r="N17" s="6">
        <f t="shared" si="3"/>
        <v>13000</v>
      </c>
      <c r="O17" s="6">
        <v>0</v>
      </c>
      <c r="P17" s="6">
        <v>0</v>
      </c>
      <c r="Q17" s="6"/>
      <c r="R17" s="6"/>
      <c r="S17" s="6">
        <f t="shared" si="4"/>
        <v>0</v>
      </c>
      <c r="T17" s="6">
        <v>0</v>
      </c>
      <c r="U17" s="6">
        <v>0</v>
      </c>
      <c r="V17" s="6"/>
      <c r="W17" s="6"/>
      <c r="X17" s="6"/>
      <c r="Y17" s="89"/>
      <c r="Z17" s="95">
        <f t="shared" si="6"/>
        <v>35880.055909759685</v>
      </c>
      <c r="AA17" s="185" t="s">
        <v>68</v>
      </c>
    </row>
    <row r="18" spans="1:27" ht="15">
      <c r="A18" s="94" t="s">
        <v>69</v>
      </c>
      <c r="B18" s="152">
        <v>334</v>
      </c>
      <c r="C18" s="67"/>
      <c r="D18" s="6">
        <f t="shared" si="0"/>
        <v>33400</v>
      </c>
      <c r="E18" s="6">
        <v>202800</v>
      </c>
      <c r="F18" s="6">
        <f t="shared" si="1"/>
        <v>236200</v>
      </c>
      <c r="G18" s="6">
        <f t="shared" si="9"/>
        <v>71810</v>
      </c>
      <c r="H18" s="6">
        <f t="shared" si="2"/>
        <v>41750</v>
      </c>
      <c r="I18" s="6"/>
      <c r="J18" s="6"/>
      <c r="K18" s="6"/>
      <c r="L18" s="6">
        <v>954507.8960274644</v>
      </c>
      <c r="M18" s="6">
        <f t="shared" si="7"/>
        <v>996257.8960274644</v>
      </c>
      <c r="N18" s="6">
        <f t="shared" si="3"/>
        <v>83500</v>
      </c>
      <c r="O18" s="6">
        <v>186000</v>
      </c>
      <c r="P18" s="6">
        <v>213910</v>
      </c>
      <c r="Q18" s="6">
        <v>268370</v>
      </c>
      <c r="R18" s="6"/>
      <c r="S18" s="6">
        <f t="shared" si="4"/>
        <v>482280</v>
      </c>
      <c r="T18" s="6">
        <f>B18*T$2</f>
        <v>50100</v>
      </c>
      <c r="U18" s="6">
        <v>94593</v>
      </c>
      <c r="V18" s="6"/>
      <c r="W18" s="6"/>
      <c r="X18" s="6"/>
      <c r="Y18" s="89"/>
      <c r="Z18" s="95">
        <f t="shared" si="6"/>
        <v>2200740.8960274644</v>
      </c>
      <c r="AA18" s="10" t="s">
        <v>69</v>
      </c>
    </row>
    <row r="19" spans="1:27" ht="15">
      <c r="A19" s="94" t="s">
        <v>70</v>
      </c>
      <c r="B19" s="153">
        <v>2338</v>
      </c>
      <c r="C19" s="67"/>
      <c r="D19" s="6">
        <f t="shared" si="0"/>
        <v>233800</v>
      </c>
      <c r="E19" s="6">
        <v>0</v>
      </c>
      <c r="F19" s="6">
        <f t="shared" si="1"/>
        <v>233800</v>
      </c>
      <c r="G19" s="6">
        <f t="shared" si="9"/>
        <v>502670</v>
      </c>
      <c r="H19" s="6">
        <f t="shared" si="2"/>
        <v>292250</v>
      </c>
      <c r="I19" s="6"/>
      <c r="J19" s="6"/>
      <c r="K19" s="6"/>
      <c r="L19" s="6">
        <v>0.22560078487731516</v>
      </c>
      <c r="M19" s="6">
        <f t="shared" si="7"/>
        <v>292250.2256007849</v>
      </c>
      <c r="N19" s="6">
        <f t="shared" si="3"/>
        <v>584500</v>
      </c>
      <c r="O19" s="6">
        <v>0</v>
      </c>
      <c r="P19" s="6">
        <v>0</v>
      </c>
      <c r="Q19" s="6"/>
      <c r="R19" s="6"/>
      <c r="S19" s="6">
        <f t="shared" si="4"/>
        <v>0</v>
      </c>
      <c r="T19" s="6">
        <f>B19*T$2</f>
        <v>350700</v>
      </c>
      <c r="U19" s="6">
        <v>0</v>
      </c>
      <c r="V19" s="6"/>
      <c r="W19" s="6"/>
      <c r="X19" s="6"/>
      <c r="Y19" s="89"/>
      <c r="Z19" s="95">
        <f t="shared" si="6"/>
        <v>1963920.2256007849</v>
      </c>
      <c r="AA19" s="185" t="s">
        <v>70</v>
      </c>
    </row>
    <row r="20" spans="1:27" ht="15">
      <c r="A20" s="94" t="s">
        <v>71</v>
      </c>
      <c r="B20" s="152">
        <v>41</v>
      </c>
      <c r="C20" s="67"/>
      <c r="D20" s="6">
        <f t="shared" si="0"/>
        <v>4100</v>
      </c>
      <c r="E20" s="6">
        <v>0</v>
      </c>
      <c r="F20" s="6">
        <f t="shared" si="1"/>
        <v>4100</v>
      </c>
      <c r="G20" s="6">
        <f t="shared" si="9"/>
        <v>8815</v>
      </c>
      <c r="H20" s="6">
        <f t="shared" si="2"/>
        <v>5125</v>
      </c>
      <c r="I20" s="6"/>
      <c r="J20" s="6"/>
      <c r="K20" s="6"/>
      <c r="L20" s="6">
        <v>0.046591466409154236</v>
      </c>
      <c r="M20" s="6">
        <f t="shared" si="7"/>
        <v>5125.046591466409</v>
      </c>
      <c r="N20" s="6">
        <f t="shared" si="3"/>
        <v>10250</v>
      </c>
      <c r="O20" s="6">
        <v>0</v>
      </c>
      <c r="P20" s="6">
        <v>0</v>
      </c>
      <c r="Q20" s="6"/>
      <c r="R20" s="6"/>
      <c r="S20" s="6">
        <f t="shared" si="4"/>
        <v>0</v>
      </c>
      <c r="T20" s="6">
        <f>B20*T$2</f>
        <v>6150</v>
      </c>
      <c r="U20" s="6">
        <v>0</v>
      </c>
      <c r="V20" s="6"/>
      <c r="W20" s="6"/>
      <c r="X20" s="6"/>
      <c r="Y20" s="89"/>
      <c r="Z20" s="95">
        <f t="shared" si="6"/>
        <v>34440.04659146641</v>
      </c>
      <c r="AA20" s="10" t="s">
        <v>71</v>
      </c>
    </row>
    <row r="21" spans="1:27" ht="15">
      <c r="A21" s="94" t="s">
        <v>72</v>
      </c>
      <c r="B21" s="153">
        <v>11745</v>
      </c>
      <c r="C21" s="67"/>
      <c r="D21" s="6">
        <f t="shared" si="0"/>
        <v>1174500</v>
      </c>
      <c r="E21" s="6"/>
      <c r="F21" s="6">
        <f t="shared" si="1"/>
        <v>1174500</v>
      </c>
      <c r="G21" s="6">
        <f t="shared" si="9"/>
        <v>2525175</v>
      </c>
      <c r="H21" s="6">
        <f t="shared" si="2"/>
        <v>1468125</v>
      </c>
      <c r="I21" s="6">
        <f>B21*$I$2</f>
        <v>10687950</v>
      </c>
      <c r="J21" s="67">
        <f>43851000-I44-H44</f>
        <v>25207535</v>
      </c>
      <c r="K21" s="6">
        <v>161131000</v>
      </c>
      <c r="L21" s="6">
        <v>0</v>
      </c>
      <c r="M21" s="6">
        <f>H21+I21+K21+L21+J21</f>
        <v>198494610</v>
      </c>
      <c r="N21" s="111">
        <f t="shared" si="3"/>
        <v>2936250</v>
      </c>
      <c r="O21" s="111"/>
      <c r="P21" s="111"/>
      <c r="Q21" s="111">
        <v>42402950</v>
      </c>
      <c r="R21" s="111">
        <v>230367000</v>
      </c>
      <c r="S21" s="111">
        <f t="shared" si="4"/>
        <v>272769950</v>
      </c>
      <c r="T21" s="6">
        <f>B21*T$2</f>
        <v>1761750</v>
      </c>
      <c r="U21" s="111"/>
      <c r="V21" s="111">
        <f>2500000+534000+472000</f>
        <v>3506000</v>
      </c>
      <c r="W21" s="111"/>
      <c r="X21" s="6"/>
      <c r="Y21" s="89">
        <f>-19665000-613284</f>
        <v>-20278284</v>
      </c>
      <c r="Z21" s="95">
        <f t="shared" si="6"/>
        <v>462889951</v>
      </c>
      <c r="AA21" s="185" t="s">
        <v>72</v>
      </c>
    </row>
    <row r="22" spans="1:27" ht="15">
      <c r="A22" s="94" t="s">
        <v>73</v>
      </c>
      <c r="B22" s="152">
        <v>1373</v>
      </c>
      <c r="C22" s="67"/>
      <c r="D22" s="6">
        <f t="shared" si="0"/>
        <v>137300</v>
      </c>
      <c r="E22" s="6">
        <v>1230300</v>
      </c>
      <c r="F22" s="6">
        <f t="shared" si="1"/>
        <v>1367600</v>
      </c>
      <c r="G22" s="6">
        <f t="shared" si="9"/>
        <v>295195</v>
      </c>
      <c r="H22" s="6">
        <f t="shared" si="2"/>
        <v>171625</v>
      </c>
      <c r="I22" s="6"/>
      <c r="J22" s="6"/>
      <c r="K22" s="6"/>
      <c r="L22" s="6">
        <v>-0.1589014221681282</v>
      </c>
      <c r="M22" s="6">
        <f>H22+I22+K22+L22+J22</f>
        <v>171624.84109857783</v>
      </c>
      <c r="N22" s="6">
        <f t="shared" si="3"/>
        <v>343250</v>
      </c>
      <c r="O22" s="6">
        <v>409800</v>
      </c>
      <c r="P22" s="6">
        <v>0</v>
      </c>
      <c r="Q22" s="6"/>
      <c r="R22" s="6"/>
      <c r="S22" s="6">
        <f t="shared" si="4"/>
        <v>0</v>
      </c>
      <c r="T22" s="6">
        <v>0</v>
      </c>
      <c r="U22" s="6">
        <v>0</v>
      </c>
      <c r="V22" s="6"/>
      <c r="W22" s="6">
        <v>185000</v>
      </c>
      <c r="X22" s="6"/>
      <c r="Y22" s="89"/>
      <c r="Z22" s="95">
        <f t="shared" si="6"/>
        <v>2772469.8410985777</v>
      </c>
      <c r="AA22" s="10" t="s">
        <v>73</v>
      </c>
    </row>
    <row r="23" spans="1:27" ht="15">
      <c r="A23" s="94" t="s">
        <v>74</v>
      </c>
      <c r="B23" s="153">
        <v>489</v>
      </c>
      <c r="C23" s="67"/>
      <c r="D23" s="6">
        <f t="shared" si="0"/>
        <v>48900</v>
      </c>
      <c r="E23" s="6">
        <v>0</v>
      </c>
      <c r="F23" s="6">
        <f t="shared" si="1"/>
        <v>48900</v>
      </c>
      <c r="G23" s="6">
        <f t="shared" si="9"/>
        <v>105135</v>
      </c>
      <c r="H23" s="6">
        <f t="shared" si="2"/>
        <v>61125</v>
      </c>
      <c r="I23" s="6">
        <f>B23*$I$2</f>
        <v>444990</v>
      </c>
      <c r="J23" s="6"/>
      <c r="K23" s="6"/>
      <c r="L23" s="6">
        <v>-0.40362922998610884</v>
      </c>
      <c r="M23" s="6">
        <f t="shared" si="7"/>
        <v>506114.59637077</v>
      </c>
      <c r="N23" s="6">
        <f t="shared" si="3"/>
        <v>122250</v>
      </c>
      <c r="O23" s="6">
        <v>0</v>
      </c>
      <c r="P23" s="6">
        <v>0</v>
      </c>
      <c r="Q23" s="6">
        <v>134190</v>
      </c>
      <c r="R23" s="6"/>
      <c r="S23" s="6">
        <f t="shared" si="4"/>
        <v>134190</v>
      </c>
      <c r="T23" s="6">
        <v>0</v>
      </c>
      <c r="U23" s="6">
        <v>0</v>
      </c>
      <c r="V23" s="6"/>
      <c r="W23" s="6"/>
      <c r="X23" s="6"/>
      <c r="Y23" s="89"/>
      <c r="Z23" s="95">
        <f t="shared" si="6"/>
        <v>916589.59637077</v>
      </c>
      <c r="AA23" s="185" t="s">
        <v>74</v>
      </c>
    </row>
    <row r="24" spans="1:27" ht="15">
      <c r="A24" s="94" t="s">
        <v>75</v>
      </c>
      <c r="B24" s="152">
        <v>786</v>
      </c>
      <c r="C24" s="67"/>
      <c r="D24" s="6">
        <f t="shared" si="0"/>
        <v>78600</v>
      </c>
      <c r="E24" s="6">
        <v>0</v>
      </c>
      <c r="F24" s="6">
        <f t="shared" si="1"/>
        <v>78600</v>
      </c>
      <c r="G24" s="6">
        <f t="shared" si="9"/>
        <v>168990</v>
      </c>
      <c r="H24" s="6">
        <f t="shared" si="2"/>
        <v>98250</v>
      </c>
      <c r="I24" s="6"/>
      <c r="J24" s="6"/>
      <c r="K24" s="6"/>
      <c r="L24" s="6">
        <v>-0.4629720450611785</v>
      </c>
      <c r="M24" s="6">
        <f t="shared" si="7"/>
        <v>98249.53702795494</v>
      </c>
      <c r="N24" s="6">
        <f t="shared" si="3"/>
        <v>196500</v>
      </c>
      <c r="O24" s="6">
        <v>0</v>
      </c>
      <c r="P24" s="6">
        <v>0</v>
      </c>
      <c r="Q24" s="6"/>
      <c r="R24" s="6"/>
      <c r="S24" s="6">
        <f t="shared" si="4"/>
        <v>0</v>
      </c>
      <c r="T24" s="6">
        <f>B24*T$2</f>
        <v>117900</v>
      </c>
      <c r="U24" s="6">
        <v>47073</v>
      </c>
      <c r="V24" s="6"/>
      <c r="W24" s="6"/>
      <c r="X24" s="6"/>
      <c r="Y24" s="89"/>
      <c r="Z24" s="95">
        <f t="shared" si="6"/>
        <v>707312.5370279549</v>
      </c>
      <c r="AA24" s="10" t="s">
        <v>75</v>
      </c>
    </row>
    <row r="25" spans="1:27" ht="15">
      <c r="A25" s="94" t="s">
        <v>76</v>
      </c>
      <c r="B25" s="153">
        <v>145</v>
      </c>
      <c r="C25" s="67"/>
      <c r="D25" s="6">
        <f t="shared" si="0"/>
        <v>14500</v>
      </c>
      <c r="E25" s="6">
        <v>0</v>
      </c>
      <c r="F25" s="6">
        <f t="shared" si="1"/>
        <v>14500</v>
      </c>
      <c r="G25" s="6">
        <f t="shared" si="9"/>
        <v>31175</v>
      </c>
      <c r="H25" s="6">
        <f t="shared" si="2"/>
        <v>18125</v>
      </c>
      <c r="I25" s="6"/>
      <c r="J25" s="6"/>
      <c r="K25" s="6"/>
      <c r="L25" s="6">
        <v>0.2775870524783386</v>
      </c>
      <c r="M25" s="6">
        <f t="shared" si="7"/>
        <v>18125.27758705248</v>
      </c>
      <c r="N25" s="6">
        <f t="shared" si="3"/>
        <v>36250</v>
      </c>
      <c r="O25" s="6">
        <v>0</v>
      </c>
      <c r="P25" s="6">
        <v>0</v>
      </c>
      <c r="Q25" s="6"/>
      <c r="R25" s="6"/>
      <c r="S25" s="6">
        <f t="shared" si="4"/>
        <v>0</v>
      </c>
      <c r="T25" s="6">
        <f>B25*T$2</f>
        <v>21750</v>
      </c>
      <c r="U25" s="6">
        <v>0</v>
      </c>
      <c r="V25" s="6"/>
      <c r="W25" s="6"/>
      <c r="X25" s="6"/>
      <c r="Y25" s="89"/>
      <c r="Z25" s="95">
        <f t="shared" si="6"/>
        <v>121800.27758705248</v>
      </c>
      <c r="AA25" s="185" t="s">
        <v>76</v>
      </c>
    </row>
    <row r="26" spans="1:27" ht="15">
      <c r="A26" s="94" t="s">
        <v>77</v>
      </c>
      <c r="B26" s="152">
        <v>798</v>
      </c>
      <c r="C26" s="67"/>
      <c r="D26" s="6">
        <f t="shared" si="0"/>
        <v>79800</v>
      </c>
      <c r="E26" s="6">
        <v>244200</v>
      </c>
      <c r="F26" s="6">
        <f t="shared" si="1"/>
        <v>324000</v>
      </c>
      <c r="G26" s="6">
        <f t="shared" si="9"/>
        <v>171570</v>
      </c>
      <c r="H26" s="6">
        <f t="shared" si="2"/>
        <v>99750</v>
      </c>
      <c r="I26" s="6">
        <f>B26*$I$2</f>
        <v>726180</v>
      </c>
      <c r="J26" s="6"/>
      <c r="K26" s="6"/>
      <c r="L26" s="6">
        <v>1371300.2986758216</v>
      </c>
      <c r="M26" s="6">
        <f t="shared" si="7"/>
        <v>2197230.2986758216</v>
      </c>
      <c r="N26" s="6">
        <f t="shared" si="3"/>
        <v>199500</v>
      </c>
      <c r="O26" s="6">
        <v>435400</v>
      </c>
      <c r="P26" s="6">
        <v>6578681</v>
      </c>
      <c r="Q26" s="6">
        <v>5006000</v>
      </c>
      <c r="R26" s="6"/>
      <c r="S26" s="6">
        <f t="shared" si="4"/>
        <v>11584681</v>
      </c>
      <c r="T26" s="6">
        <f>B26*T$2</f>
        <v>119700</v>
      </c>
      <c r="U26" s="6">
        <v>323161</v>
      </c>
      <c r="V26" s="6"/>
      <c r="W26" s="6"/>
      <c r="X26" s="6"/>
      <c r="Y26" s="89">
        <v>1314000</v>
      </c>
      <c r="Z26" s="95">
        <f>M26+F26+X26+N26+T26+W26+S26+U26+O26+V26+G26+Y26</f>
        <v>16669242.298675822</v>
      </c>
      <c r="AA26" s="10" t="s">
        <v>77</v>
      </c>
    </row>
    <row r="27" spans="1:27" ht="15">
      <c r="A27" s="94" t="s">
        <v>78</v>
      </c>
      <c r="B27" s="153">
        <v>769</v>
      </c>
      <c r="C27" s="67"/>
      <c r="D27" s="6">
        <f t="shared" si="0"/>
        <v>76900</v>
      </c>
      <c r="E27" s="6">
        <v>237300</v>
      </c>
      <c r="F27" s="6">
        <f t="shared" si="1"/>
        <v>314200</v>
      </c>
      <c r="G27" s="6">
        <f t="shared" si="9"/>
        <v>165335</v>
      </c>
      <c r="H27" s="6">
        <f t="shared" si="2"/>
        <v>96125</v>
      </c>
      <c r="I27" s="6"/>
      <c r="J27" s="6"/>
      <c r="K27" s="6"/>
      <c r="L27" s="6">
        <v>287104.5463462481</v>
      </c>
      <c r="M27" s="6">
        <f t="shared" si="7"/>
        <v>383229.5463462481</v>
      </c>
      <c r="N27" s="6">
        <f t="shared" si="3"/>
        <v>192250</v>
      </c>
      <c r="O27" s="6">
        <v>0</v>
      </c>
      <c r="P27" s="6">
        <v>0</v>
      </c>
      <c r="Q27" s="6"/>
      <c r="R27" s="6"/>
      <c r="S27" s="6">
        <f t="shared" si="4"/>
        <v>0</v>
      </c>
      <c r="T27" s="6">
        <v>0</v>
      </c>
      <c r="U27" s="6">
        <v>0</v>
      </c>
      <c r="V27" s="6"/>
      <c r="W27" s="6"/>
      <c r="X27" s="6"/>
      <c r="Y27" s="89"/>
      <c r="Z27" s="95">
        <f aca="true" t="shared" si="10" ref="Z27:Z44">M27+F27+X27+N27+T27+W27+S27+U27+O27+V27+G27+Y27</f>
        <v>1055014.5463462481</v>
      </c>
      <c r="AA27" s="185" t="s">
        <v>78</v>
      </c>
    </row>
    <row r="28" spans="1:27" ht="15">
      <c r="A28" s="94" t="s">
        <v>79</v>
      </c>
      <c r="B28" s="152">
        <v>871</v>
      </c>
      <c r="C28" s="67"/>
      <c r="D28" s="6">
        <f t="shared" si="0"/>
        <v>87100</v>
      </c>
      <c r="E28" s="6">
        <v>0</v>
      </c>
      <c r="F28" s="6">
        <f t="shared" si="1"/>
        <v>87100</v>
      </c>
      <c r="G28" s="6">
        <f t="shared" si="9"/>
        <v>187265</v>
      </c>
      <c r="H28" s="6">
        <f t="shared" si="2"/>
        <v>108875</v>
      </c>
      <c r="I28" s="6"/>
      <c r="J28" s="6"/>
      <c r="K28" s="6"/>
      <c r="L28" s="6">
        <v>-0.21333987242542207</v>
      </c>
      <c r="M28" s="6">
        <f t="shared" si="7"/>
        <v>108874.78666012757</v>
      </c>
      <c r="N28" s="6">
        <f t="shared" si="3"/>
        <v>217750</v>
      </c>
      <c r="O28" s="6">
        <v>0</v>
      </c>
      <c r="P28" s="6">
        <v>0</v>
      </c>
      <c r="Q28" s="6"/>
      <c r="R28" s="6"/>
      <c r="S28" s="6">
        <f t="shared" si="4"/>
        <v>0</v>
      </c>
      <c r="T28" s="6">
        <f>B28*T$2</f>
        <v>130650</v>
      </c>
      <c r="U28" s="6">
        <v>0</v>
      </c>
      <c r="V28" s="6"/>
      <c r="W28" s="6"/>
      <c r="X28" s="6"/>
      <c r="Y28" s="89"/>
      <c r="Z28" s="95">
        <f t="shared" si="10"/>
        <v>731639.7866601276</v>
      </c>
      <c r="AA28" s="10" t="s">
        <v>79</v>
      </c>
    </row>
    <row r="29" spans="1:27" ht="15">
      <c r="A29" s="94" t="s">
        <v>80</v>
      </c>
      <c r="B29" s="153">
        <v>558</v>
      </c>
      <c r="C29" s="67"/>
      <c r="D29" s="6">
        <f t="shared" si="0"/>
        <v>55800</v>
      </c>
      <c r="E29" s="6">
        <v>83550</v>
      </c>
      <c r="F29" s="6">
        <f t="shared" si="1"/>
        <v>139350</v>
      </c>
      <c r="G29" s="6">
        <f t="shared" si="9"/>
        <v>119970</v>
      </c>
      <c r="H29" s="6">
        <f t="shared" si="2"/>
        <v>69750</v>
      </c>
      <c r="I29" s="6">
        <f>B29*$I$2</f>
        <v>507780</v>
      </c>
      <c r="J29" s="6"/>
      <c r="K29" s="6"/>
      <c r="L29" s="6">
        <v>430944.5237861697</v>
      </c>
      <c r="M29" s="6">
        <f t="shared" si="7"/>
        <v>1008474.5237861697</v>
      </c>
      <c r="N29" s="6">
        <f t="shared" si="3"/>
        <v>139500</v>
      </c>
      <c r="O29" s="6">
        <v>83550</v>
      </c>
      <c r="P29" s="6">
        <v>2905000</v>
      </c>
      <c r="Q29" s="6">
        <v>5749000</v>
      </c>
      <c r="R29" s="6"/>
      <c r="S29" s="6">
        <f t="shared" si="4"/>
        <v>8654000</v>
      </c>
      <c r="T29" s="6">
        <f>B29*T$2</f>
        <v>83700</v>
      </c>
      <c r="U29" s="6">
        <v>41775</v>
      </c>
      <c r="V29" s="6"/>
      <c r="W29" s="6"/>
      <c r="X29" s="6"/>
      <c r="Y29" s="89">
        <v>3578000</v>
      </c>
      <c r="Z29" s="95">
        <f t="shared" si="10"/>
        <v>13848319.52378617</v>
      </c>
      <c r="AA29" s="185" t="s">
        <v>80</v>
      </c>
    </row>
    <row r="30" spans="1:27" ht="15">
      <c r="A30" s="94" t="s">
        <v>81</v>
      </c>
      <c r="B30" s="152">
        <v>575</v>
      </c>
      <c r="C30" s="67"/>
      <c r="D30" s="6">
        <f t="shared" si="0"/>
        <v>57500</v>
      </c>
      <c r="E30" s="6">
        <v>172500</v>
      </c>
      <c r="F30" s="6">
        <f t="shared" si="1"/>
        <v>230000</v>
      </c>
      <c r="G30" s="6">
        <f t="shared" si="9"/>
        <v>123625</v>
      </c>
      <c r="H30" s="6"/>
      <c r="I30" s="6"/>
      <c r="J30" s="6"/>
      <c r="K30" s="6"/>
      <c r="L30" s="6">
        <v>372240.2947523296</v>
      </c>
      <c r="M30" s="6">
        <f t="shared" si="7"/>
        <v>372240.2947523296</v>
      </c>
      <c r="N30" s="6"/>
      <c r="O30" s="6">
        <v>0</v>
      </c>
      <c r="P30" s="6">
        <v>0</v>
      </c>
      <c r="Q30" s="6"/>
      <c r="R30" s="6"/>
      <c r="S30" s="6">
        <f t="shared" si="4"/>
        <v>0</v>
      </c>
      <c r="T30" s="6">
        <v>0</v>
      </c>
      <c r="U30" s="6">
        <v>0</v>
      </c>
      <c r="V30" s="6"/>
      <c r="W30" s="6"/>
      <c r="X30" s="6"/>
      <c r="Y30" s="89"/>
      <c r="Z30" s="95">
        <f t="shared" si="10"/>
        <v>725865.2947523296</v>
      </c>
      <c r="AA30" s="10" t="s">
        <v>81</v>
      </c>
    </row>
    <row r="31" spans="1:27" ht="15">
      <c r="A31" s="94" t="s">
        <v>82</v>
      </c>
      <c r="B31" s="153">
        <v>765</v>
      </c>
      <c r="C31" s="67"/>
      <c r="D31" s="6">
        <f t="shared" si="0"/>
        <v>76500</v>
      </c>
      <c r="E31" s="6">
        <v>0</v>
      </c>
      <c r="F31" s="6">
        <f t="shared" si="1"/>
        <v>76500</v>
      </c>
      <c r="G31" s="6">
        <f t="shared" si="9"/>
        <v>164475</v>
      </c>
      <c r="H31" s="6">
        <f t="shared" si="2"/>
        <v>95625</v>
      </c>
      <c r="I31" s="6">
        <f>B31*$I$2</f>
        <v>696150</v>
      </c>
      <c r="J31" s="6"/>
      <c r="K31" s="6"/>
      <c r="L31" s="6">
        <v>0.38989700842648745</v>
      </c>
      <c r="M31" s="6">
        <f t="shared" si="7"/>
        <v>791775.3898970084</v>
      </c>
      <c r="N31" s="6">
        <f aca="true" t="shared" si="11" ref="N31:N43">B31*N$2</f>
        <v>191250</v>
      </c>
      <c r="O31" s="6">
        <v>0</v>
      </c>
      <c r="P31" s="6">
        <v>0</v>
      </c>
      <c r="Q31" s="6"/>
      <c r="R31" s="6"/>
      <c r="S31" s="6">
        <f t="shared" si="4"/>
        <v>0</v>
      </c>
      <c r="T31" s="6">
        <f aca="true" t="shared" si="12" ref="T31:T37">B31*T$2</f>
        <v>114750</v>
      </c>
      <c r="U31" s="6">
        <v>0</v>
      </c>
      <c r="V31" s="6"/>
      <c r="W31" s="6"/>
      <c r="X31" s="6"/>
      <c r="Y31" s="89"/>
      <c r="Z31" s="95">
        <f t="shared" si="10"/>
        <v>1338750.3898970084</v>
      </c>
      <c r="AA31" s="185" t="s">
        <v>82</v>
      </c>
    </row>
    <row r="32" spans="1:27" ht="15">
      <c r="A32" s="94" t="s">
        <v>83</v>
      </c>
      <c r="B32" s="152">
        <v>94</v>
      </c>
      <c r="C32" s="67"/>
      <c r="D32" s="6">
        <f t="shared" si="0"/>
        <v>9400</v>
      </c>
      <c r="E32" s="6">
        <v>45600</v>
      </c>
      <c r="F32" s="6">
        <f t="shared" si="1"/>
        <v>55000</v>
      </c>
      <c r="G32" s="6">
        <f t="shared" si="9"/>
        <v>20210</v>
      </c>
      <c r="H32" s="6">
        <f t="shared" si="2"/>
        <v>11750</v>
      </c>
      <c r="I32" s="6">
        <f>B32*$I$2</f>
        <v>85540</v>
      </c>
      <c r="J32" s="6"/>
      <c r="K32" s="6"/>
      <c r="L32" s="6">
        <v>220765.24031387933</v>
      </c>
      <c r="M32" s="6">
        <f t="shared" si="7"/>
        <v>318055.24031387933</v>
      </c>
      <c r="N32" s="6">
        <f t="shared" si="11"/>
        <v>23500</v>
      </c>
      <c r="O32" s="6">
        <v>42950</v>
      </c>
      <c r="P32" s="6">
        <v>563410</v>
      </c>
      <c r="Q32" s="6"/>
      <c r="R32" s="6"/>
      <c r="S32" s="6">
        <f t="shared" si="4"/>
        <v>563410</v>
      </c>
      <c r="T32" s="6">
        <f t="shared" si="12"/>
        <v>14100</v>
      </c>
      <c r="U32" s="6">
        <v>21726</v>
      </c>
      <c r="V32" s="6"/>
      <c r="W32" s="6"/>
      <c r="X32" s="6"/>
      <c r="Y32" s="89"/>
      <c r="Z32" s="95">
        <f t="shared" si="10"/>
        <v>1058951.2403138792</v>
      </c>
      <c r="AA32" s="10" t="s">
        <v>83</v>
      </c>
    </row>
    <row r="33" spans="1:27" ht="15">
      <c r="A33" s="94" t="s">
        <v>84</v>
      </c>
      <c r="B33" s="153">
        <v>839</v>
      </c>
      <c r="C33" s="67"/>
      <c r="D33" s="6">
        <f t="shared" si="0"/>
        <v>83900</v>
      </c>
      <c r="E33" s="6">
        <v>0</v>
      </c>
      <c r="F33" s="6">
        <f t="shared" si="1"/>
        <v>83900</v>
      </c>
      <c r="G33" s="6">
        <f t="shared" si="9"/>
        <v>180385</v>
      </c>
      <c r="H33" s="6">
        <f t="shared" si="2"/>
        <v>104875</v>
      </c>
      <c r="I33" s="6"/>
      <c r="J33" s="6"/>
      <c r="K33" s="6"/>
      <c r="L33" s="6">
        <v>0.20745463471394032</v>
      </c>
      <c r="M33" s="6">
        <f t="shared" si="7"/>
        <v>104875.20745463471</v>
      </c>
      <c r="N33" s="6">
        <f t="shared" si="11"/>
        <v>209750</v>
      </c>
      <c r="O33" s="6">
        <v>0</v>
      </c>
      <c r="P33" s="6">
        <v>0</v>
      </c>
      <c r="Q33" s="6"/>
      <c r="R33" s="6"/>
      <c r="S33" s="6">
        <f t="shared" si="4"/>
        <v>0</v>
      </c>
      <c r="T33" s="6">
        <f t="shared" si="12"/>
        <v>125850</v>
      </c>
      <c r="U33" s="6">
        <v>0</v>
      </c>
      <c r="V33" s="6"/>
      <c r="W33" s="6"/>
      <c r="X33" s="6"/>
      <c r="Y33" s="89"/>
      <c r="Z33" s="95">
        <f t="shared" si="10"/>
        <v>704760.2074546347</v>
      </c>
      <c r="AA33" s="185" t="s">
        <v>84</v>
      </c>
    </row>
    <row r="34" spans="1:27" ht="15">
      <c r="A34" s="94" t="s">
        <v>85</v>
      </c>
      <c r="B34" s="152">
        <v>567</v>
      </c>
      <c r="C34" s="67"/>
      <c r="D34" s="6">
        <f t="shared" si="0"/>
        <v>56700</v>
      </c>
      <c r="E34" s="6">
        <v>0</v>
      </c>
      <c r="F34" s="6">
        <f t="shared" si="1"/>
        <v>56700</v>
      </c>
      <c r="G34" s="6">
        <f t="shared" si="9"/>
        <v>121905</v>
      </c>
      <c r="H34" s="6">
        <f t="shared" si="2"/>
        <v>70875</v>
      </c>
      <c r="I34" s="6">
        <f>B34*$I$2</f>
        <v>515970</v>
      </c>
      <c r="J34" s="6"/>
      <c r="K34" s="6"/>
      <c r="L34" s="6">
        <v>-0.08141245704609901</v>
      </c>
      <c r="M34" s="6">
        <f t="shared" si="7"/>
        <v>586844.918587543</v>
      </c>
      <c r="N34" s="6">
        <f t="shared" si="11"/>
        <v>141750</v>
      </c>
      <c r="O34" s="6">
        <v>0</v>
      </c>
      <c r="P34" s="6">
        <v>0</v>
      </c>
      <c r="Q34" s="6">
        <v>805120</v>
      </c>
      <c r="R34" s="6"/>
      <c r="S34" s="6">
        <f t="shared" si="4"/>
        <v>805120</v>
      </c>
      <c r="T34" s="6">
        <f t="shared" si="12"/>
        <v>85050</v>
      </c>
      <c r="U34" s="6">
        <v>0</v>
      </c>
      <c r="V34" s="6"/>
      <c r="W34" s="6"/>
      <c r="X34" s="6"/>
      <c r="Y34" s="89"/>
      <c r="Z34" s="95">
        <f t="shared" si="10"/>
        <v>1797369.918587543</v>
      </c>
      <c r="AA34" s="10" t="s">
        <v>85</v>
      </c>
    </row>
    <row r="35" spans="1:27" ht="15">
      <c r="A35" s="94" t="s">
        <v>86</v>
      </c>
      <c r="B35" s="153">
        <v>225</v>
      </c>
      <c r="C35" s="67"/>
      <c r="D35" s="6">
        <f t="shared" si="0"/>
        <v>22500</v>
      </c>
      <c r="E35" s="6">
        <v>0</v>
      </c>
      <c r="F35" s="6">
        <f t="shared" si="1"/>
        <v>22500</v>
      </c>
      <c r="G35" s="6">
        <f t="shared" si="9"/>
        <v>48375</v>
      </c>
      <c r="H35" s="6">
        <f t="shared" si="2"/>
        <v>28125</v>
      </c>
      <c r="I35" s="6"/>
      <c r="J35" s="6"/>
      <c r="K35" s="6"/>
      <c r="L35" s="6">
        <v>-0.49141736145247705</v>
      </c>
      <c r="M35" s="6">
        <f t="shared" si="7"/>
        <v>28124.508582638548</v>
      </c>
      <c r="N35" s="6">
        <f t="shared" si="11"/>
        <v>56250</v>
      </c>
      <c r="O35" s="6">
        <v>0</v>
      </c>
      <c r="P35" s="6">
        <v>0</v>
      </c>
      <c r="Q35" s="6"/>
      <c r="R35" s="6"/>
      <c r="S35" s="6">
        <f t="shared" si="4"/>
        <v>0</v>
      </c>
      <c r="T35" s="6">
        <f t="shared" si="12"/>
        <v>33750</v>
      </c>
      <c r="U35" s="6">
        <v>0</v>
      </c>
      <c r="V35" s="6"/>
      <c r="W35" s="6"/>
      <c r="X35" s="6"/>
      <c r="Y35" s="89"/>
      <c r="Z35" s="95">
        <f t="shared" si="10"/>
        <v>188999.50858263855</v>
      </c>
      <c r="AA35" s="185" t="s">
        <v>86</v>
      </c>
    </row>
    <row r="36" spans="1:27" ht="15">
      <c r="A36" s="94" t="s">
        <v>87</v>
      </c>
      <c r="B36" s="152">
        <v>363</v>
      </c>
      <c r="C36" s="67"/>
      <c r="D36" s="6">
        <f t="shared" si="0"/>
        <v>36300</v>
      </c>
      <c r="E36" s="6">
        <v>0</v>
      </c>
      <c r="F36" s="6">
        <f t="shared" si="1"/>
        <v>36300</v>
      </c>
      <c r="G36" s="6">
        <f t="shared" si="9"/>
        <v>78045</v>
      </c>
      <c r="H36" s="6">
        <f t="shared" si="2"/>
        <v>45375</v>
      </c>
      <c r="I36" s="6"/>
      <c r="J36" s="6"/>
      <c r="K36" s="6"/>
      <c r="L36" s="6">
        <v>0.2908288376929704</v>
      </c>
      <c r="M36" s="6">
        <f t="shared" si="7"/>
        <v>45375.29082883769</v>
      </c>
      <c r="N36" s="6">
        <f t="shared" si="11"/>
        <v>90750</v>
      </c>
      <c r="O36" s="6">
        <v>0</v>
      </c>
      <c r="P36" s="6">
        <v>0</v>
      </c>
      <c r="Q36" s="6"/>
      <c r="R36" s="6"/>
      <c r="S36" s="6">
        <f t="shared" si="4"/>
        <v>0</v>
      </c>
      <c r="T36" s="6">
        <f t="shared" si="12"/>
        <v>54450</v>
      </c>
      <c r="U36" s="6">
        <v>0</v>
      </c>
      <c r="V36" s="6"/>
      <c r="W36" s="6"/>
      <c r="X36" s="6"/>
      <c r="Y36" s="89"/>
      <c r="Z36" s="95">
        <f t="shared" si="10"/>
        <v>304920.29082883766</v>
      </c>
      <c r="AA36" s="10" t="s">
        <v>87</v>
      </c>
    </row>
    <row r="37" spans="1:27" ht="15">
      <c r="A37" s="94" t="s">
        <v>88</v>
      </c>
      <c r="B37" s="153">
        <v>293</v>
      </c>
      <c r="C37" s="67"/>
      <c r="D37" s="6">
        <f t="shared" si="0"/>
        <v>29300</v>
      </c>
      <c r="E37" s="6">
        <v>86400</v>
      </c>
      <c r="F37" s="6">
        <f t="shared" si="1"/>
        <v>115700</v>
      </c>
      <c r="G37" s="6">
        <f t="shared" si="9"/>
        <v>62995</v>
      </c>
      <c r="H37" s="6">
        <f t="shared" si="2"/>
        <v>36625</v>
      </c>
      <c r="I37" s="6">
        <f>B37*$I$2</f>
        <v>266630</v>
      </c>
      <c r="J37" s="6"/>
      <c r="K37" s="6"/>
      <c r="L37" s="6">
        <v>445644.33545855817</v>
      </c>
      <c r="M37" s="6">
        <f t="shared" si="7"/>
        <v>748899.3354585582</v>
      </c>
      <c r="N37" s="6">
        <f t="shared" si="11"/>
        <v>73250</v>
      </c>
      <c r="O37" s="6">
        <v>86400</v>
      </c>
      <c r="P37" s="6">
        <v>0</v>
      </c>
      <c r="Q37" s="6"/>
      <c r="R37" s="6"/>
      <c r="S37" s="6">
        <f t="shared" si="4"/>
        <v>0</v>
      </c>
      <c r="T37" s="6">
        <f t="shared" si="12"/>
        <v>43950</v>
      </c>
      <c r="U37" s="6">
        <v>43200</v>
      </c>
      <c r="V37" s="6"/>
      <c r="W37" s="6"/>
      <c r="X37" s="6"/>
      <c r="Y37" s="89"/>
      <c r="Z37" s="95">
        <f t="shared" si="10"/>
        <v>1174394.335458558</v>
      </c>
      <c r="AA37" s="185" t="s">
        <v>88</v>
      </c>
    </row>
    <row r="38" spans="1:27" ht="15">
      <c r="A38" s="94" t="s">
        <v>89</v>
      </c>
      <c r="B38" s="152">
        <v>759</v>
      </c>
      <c r="C38" s="67"/>
      <c r="D38" s="6">
        <f t="shared" si="0"/>
        <v>75900</v>
      </c>
      <c r="E38" s="6">
        <v>1279300</v>
      </c>
      <c r="F38" s="6">
        <f t="shared" si="1"/>
        <v>1355200</v>
      </c>
      <c r="G38" s="6">
        <f t="shared" si="9"/>
        <v>163185</v>
      </c>
      <c r="H38" s="6">
        <f t="shared" si="2"/>
        <v>94875</v>
      </c>
      <c r="I38" s="6"/>
      <c r="J38" s="6"/>
      <c r="K38" s="6"/>
      <c r="L38" s="6">
        <v>776019.0044139284</v>
      </c>
      <c r="M38" s="6">
        <f t="shared" si="7"/>
        <v>870894.0044139284</v>
      </c>
      <c r="N38" s="6">
        <f t="shared" si="11"/>
        <v>189750</v>
      </c>
      <c r="O38" s="6">
        <v>613000</v>
      </c>
      <c r="P38" s="6">
        <v>0</v>
      </c>
      <c r="Q38" s="6"/>
      <c r="R38" s="6"/>
      <c r="S38" s="6">
        <f t="shared" si="4"/>
        <v>0</v>
      </c>
      <c r="T38" s="6">
        <v>0</v>
      </c>
      <c r="U38" s="6">
        <v>0</v>
      </c>
      <c r="V38" s="6"/>
      <c r="W38" s="6"/>
      <c r="X38" s="6">
        <v>216500</v>
      </c>
      <c r="Y38" s="89"/>
      <c r="Z38" s="95">
        <f t="shared" si="10"/>
        <v>3408529.0044139284</v>
      </c>
      <c r="AA38" s="10" t="s">
        <v>89</v>
      </c>
    </row>
    <row r="39" spans="1:27" ht="15">
      <c r="A39" s="94" t="s">
        <v>90</v>
      </c>
      <c r="B39" s="153">
        <v>425</v>
      </c>
      <c r="C39" s="67"/>
      <c r="D39" s="6">
        <f t="shared" si="0"/>
        <v>42500</v>
      </c>
      <c r="E39" s="6">
        <v>0</v>
      </c>
      <c r="F39" s="6">
        <f t="shared" si="1"/>
        <v>42500</v>
      </c>
      <c r="G39" s="6">
        <f t="shared" si="9"/>
        <v>91375</v>
      </c>
      <c r="H39" s="6">
        <f t="shared" si="2"/>
        <v>53125</v>
      </c>
      <c r="I39" s="6"/>
      <c r="J39" s="6"/>
      <c r="K39" s="6"/>
      <c r="L39" s="6">
        <v>0.007846983848139644</v>
      </c>
      <c r="M39" s="6">
        <f t="shared" si="7"/>
        <v>53125.00784698385</v>
      </c>
      <c r="N39" s="6">
        <f t="shared" si="11"/>
        <v>106250</v>
      </c>
      <c r="O39" s="6">
        <v>0</v>
      </c>
      <c r="P39" s="6">
        <v>0</v>
      </c>
      <c r="Q39" s="6"/>
      <c r="R39" s="6"/>
      <c r="S39" s="6">
        <f t="shared" si="4"/>
        <v>0</v>
      </c>
      <c r="T39" s="6">
        <f>B39*T$2</f>
        <v>63750</v>
      </c>
      <c r="U39" s="6">
        <v>0</v>
      </c>
      <c r="V39" s="6"/>
      <c r="W39" s="6"/>
      <c r="X39" s="6"/>
      <c r="Y39" s="89"/>
      <c r="Z39" s="95">
        <f t="shared" si="10"/>
        <v>357000.00784698385</v>
      </c>
      <c r="AA39" s="185" t="s">
        <v>90</v>
      </c>
    </row>
    <row r="40" spans="1:27" ht="15">
      <c r="A40" s="94" t="s">
        <v>91</v>
      </c>
      <c r="B40" s="152">
        <v>137</v>
      </c>
      <c r="C40" s="67"/>
      <c r="D40" s="6">
        <f t="shared" si="0"/>
        <v>13700</v>
      </c>
      <c r="E40" s="6">
        <v>0</v>
      </c>
      <c r="F40" s="6">
        <f t="shared" si="1"/>
        <v>13700</v>
      </c>
      <c r="G40" s="6"/>
      <c r="H40" s="6">
        <f t="shared" si="2"/>
        <v>17125</v>
      </c>
      <c r="I40" s="6"/>
      <c r="J40" s="6"/>
      <c r="K40" s="6"/>
      <c r="L40" s="6">
        <v>0</v>
      </c>
      <c r="M40" s="6">
        <f t="shared" si="7"/>
        <v>17125</v>
      </c>
      <c r="N40" s="6">
        <f t="shared" si="11"/>
        <v>34250</v>
      </c>
      <c r="O40" s="6">
        <v>0</v>
      </c>
      <c r="P40" s="6">
        <v>0</v>
      </c>
      <c r="Q40" s="6"/>
      <c r="R40" s="6"/>
      <c r="S40" s="6">
        <f t="shared" si="4"/>
        <v>0</v>
      </c>
      <c r="T40" s="6">
        <f>B40*T$2</f>
        <v>20550</v>
      </c>
      <c r="U40" s="6">
        <v>0</v>
      </c>
      <c r="V40" s="6"/>
      <c r="W40" s="6"/>
      <c r="X40" s="6"/>
      <c r="Y40" s="89"/>
      <c r="Z40" s="95">
        <f t="shared" si="10"/>
        <v>85625</v>
      </c>
      <c r="AA40" s="10" t="s">
        <v>91</v>
      </c>
    </row>
    <row r="41" spans="1:27" ht="15">
      <c r="A41" s="94" t="s">
        <v>92</v>
      </c>
      <c r="B41" s="153">
        <v>152</v>
      </c>
      <c r="C41" s="67"/>
      <c r="D41" s="6">
        <f t="shared" si="0"/>
        <v>15200</v>
      </c>
      <c r="E41" s="6">
        <v>0</v>
      </c>
      <c r="F41" s="6">
        <f t="shared" si="1"/>
        <v>15200</v>
      </c>
      <c r="G41" s="6">
        <f>B41*$G$2</f>
        <v>32680</v>
      </c>
      <c r="H41" s="6">
        <f t="shared" si="2"/>
        <v>19000</v>
      </c>
      <c r="I41" s="6"/>
      <c r="J41" s="6"/>
      <c r="K41" s="6"/>
      <c r="L41" s="6">
        <v>-0.1991172143170843</v>
      </c>
      <c r="M41" s="6">
        <f t="shared" si="7"/>
        <v>18999.800882785683</v>
      </c>
      <c r="N41" s="6">
        <f t="shared" si="11"/>
        <v>38000</v>
      </c>
      <c r="O41" s="6">
        <v>0</v>
      </c>
      <c r="P41" s="6">
        <v>0</v>
      </c>
      <c r="Q41" s="6"/>
      <c r="R41" s="6"/>
      <c r="S41" s="6">
        <f t="shared" si="4"/>
        <v>0</v>
      </c>
      <c r="T41" s="6">
        <f>B41*T$2</f>
        <v>22800</v>
      </c>
      <c r="U41" s="6">
        <v>0</v>
      </c>
      <c r="V41" s="6"/>
      <c r="W41" s="6"/>
      <c r="X41" s="6"/>
      <c r="Y41" s="89"/>
      <c r="Z41" s="95">
        <f t="shared" si="10"/>
        <v>127679.80088278568</v>
      </c>
      <c r="AA41" s="185" t="s">
        <v>92</v>
      </c>
    </row>
    <row r="42" spans="1:27" ht="15">
      <c r="A42" s="94" t="s">
        <v>93</v>
      </c>
      <c r="B42" s="152">
        <v>748</v>
      </c>
      <c r="C42" s="67"/>
      <c r="D42" s="6">
        <f t="shared" si="0"/>
        <v>74800</v>
      </c>
      <c r="E42" s="6">
        <v>115050</v>
      </c>
      <c r="F42" s="6">
        <f t="shared" si="1"/>
        <v>189850</v>
      </c>
      <c r="G42" s="6">
        <f>B42*$G$2</f>
        <v>160820</v>
      </c>
      <c r="H42" s="6">
        <f t="shared" si="2"/>
        <v>93500</v>
      </c>
      <c r="I42" s="6"/>
      <c r="J42" s="6"/>
      <c r="K42" s="6"/>
      <c r="L42" s="6">
        <v>248268.5183913684</v>
      </c>
      <c r="M42" s="6">
        <f t="shared" si="7"/>
        <v>341768.5183913684</v>
      </c>
      <c r="N42" s="6">
        <f t="shared" si="11"/>
        <v>187000</v>
      </c>
      <c r="O42" s="6">
        <v>115050</v>
      </c>
      <c r="P42" s="6">
        <v>0</v>
      </c>
      <c r="Q42" s="6"/>
      <c r="R42" s="6"/>
      <c r="S42" s="6">
        <f t="shared" si="4"/>
        <v>0</v>
      </c>
      <c r="T42" s="6">
        <f>B42*T$2</f>
        <v>112200</v>
      </c>
      <c r="U42" s="6">
        <v>57525</v>
      </c>
      <c r="V42" s="6"/>
      <c r="W42" s="6"/>
      <c r="X42" s="6"/>
      <c r="Y42" s="89"/>
      <c r="Z42" s="95">
        <f t="shared" si="10"/>
        <v>1164213.5183913684</v>
      </c>
      <c r="AA42" s="10" t="s">
        <v>93</v>
      </c>
    </row>
    <row r="43" spans="1:27" ht="15.75" thickBot="1">
      <c r="A43" s="94" t="s">
        <v>94</v>
      </c>
      <c r="B43" s="154">
        <v>511</v>
      </c>
      <c r="C43" s="67"/>
      <c r="D43" s="6">
        <f t="shared" si="0"/>
        <v>51100</v>
      </c>
      <c r="E43" s="6">
        <v>0</v>
      </c>
      <c r="F43" s="6">
        <f t="shared" si="1"/>
        <v>51100</v>
      </c>
      <c r="G43" s="6"/>
      <c r="H43" s="6">
        <f t="shared" si="2"/>
        <v>63875</v>
      </c>
      <c r="I43" s="6"/>
      <c r="J43" s="6"/>
      <c r="K43" s="6"/>
      <c r="L43" s="6">
        <v>0</v>
      </c>
      <c r="M43" s="6">
        <f>H43+I43+K43+L43+J43</f>
        <v>63875</v>
      </c>
      <c r="N43" s="6">
        <f t="shared" si="11"/>
        <v>127750</v>
      </c>
      <c r="O43" s="6">
        <v>0</v>
      </c>
      <c r="P43" s="6">
        <v>0</v>
      </c>
      <c r="Q43" s="6"/>
      <c r="R43" s="6"/>
      <c r="S43" s="6">
        <f t="shared" si="4"/>
        <v>0</v>
      </c>
      <c r="T43" s="6">
        <f>B43*T$2</f>
        <v>76650</v>
      </c>
      <c r="U43" s="6">
        <v>0</v>
      </c>
      <c r="V43" s="6"/>
      <c r="W43" s="6"/>
      <c r="X43" s="6"/>
      <c r="Y43" s="89"/>
      <c r="Z43" s="95">
        <f t="shared" si="10"/>
        <v>319375</v>
      </c>
      <c r="AA43" s="187" t="s">
        <v>94</v>
      </c>
    </row>
    <row r="44" spans="1:29" ht="15.75" thickBot="1">
      <c r="A44" s="96"/>
      <c r="B44" s="28">
        <f aca="true" t="shared" si="13" ref="B44:Y44">SUBTOTAL(109,B6:B43)</f>
        <v>36162</v>
      </c>
      <c r="C44" s="28">
        <f t="shared" si="13"/>
        <v>0</v>
      </c>
      <c r="D44" s="44">
        <f t="shared" si="13"/>
        <v>3616200</v>
      </c>
      <c r="E44" s="44">
        <f t="shared" si="13"/>
        <v>4285000</v>
      </c>
      <c r="F44" s="44">
        <f t="shared" si="13"/>
        <v>7901200</v>
      </c>
      <c r="G44" s="44">
        <f t="shared" si="13"/>
        <v>6967505</v>
      </c>
      <c r="H44" s="44">
        <f t="shared" si="13"/>
        <v>4448375</v>
      </c>
      <c r="I44" s="44">
        <f t="shared" si="13"/>
        <v>14195090</v>
      </c>
      <c r="J44" s="44">
        <f t="shared" si="13"/>
        <v>25207535</v>
      </c>
      <c r="K44" s="44">
        <f t="shared" si="13"/>
        <v>161131000</v>
      </c>
      <c r="L44" s="44">
        <f t="shared" si="13"/>
        <v>5126544.998528691</v>
      </c>
      <c r="M44" s="44">
        <f t="shared" si="13"/>
        <v>210108544.9985287</v>
      </c>
      <c r="N44" s="44">
        <f t="shared" si="13"/>
        <v>8896750</v>
      </c>
      <c r="O44" s="44">
        <f t="shared" si="13"/>
        <v>2225350</v>
      </c>
      <c r="P44" s="44">
        <f t="shared" si="13"/>
        <v>10261001</v>
      </c>
      <c r="Q44" s="44">
        <f t="shared" si="13"/>
        <v>58180630</v>
      </c>
      <c r="R44" s="44">
        <f t="shared" si="13"/>
        <v>230367000</v>
      </c>
      <c r="S44" s="44">
        <f t="shared" si="13"/>
        <v>298808631</v>
      </c>
      <c r="T44" s="44">
        <f t="shared" si="13"/>
        <v>4723050</v>
      </c>
      <c r="U44" s="44">
        <f t="shared" si="13"/>
        <v>629053</v>
      </c>
      <c r="V44" s="44">
        <f t="shared" si="13"/>
        <v>3506000</v>
      </c>
      <c r="W44" s="44">
        <f t="shared" si="13"/>
        <v>185000</v>
      </c>
      <c r="X44" s="44">
        <f t="shared" si="13"/>
        <v>216500</v>
      </c>
      <c r="Y44" s="44">
        <f t="shared" si="13"/>
        <v>-17260284</v>
      </c>
      <c r="Z44" s="45">
        <f t="shared" si="10"/>
        <v>526907299.9985287</v>
      </c>
      <c r="AC44" s="1"/>
    </row>
    <row r="45" spans="28:29" ht="15">
      <c r="AB45" s="1"/>
      <c r="AC45" s="1"/>
    </row>
    <row r="46" spans="4:32" ht="15">
      <c r="D46" s="1"/>
      <c r="G46" s="141"/>
      <c r="H46" s="141"/>
      <c r="I46" s="141"/>
      <c r="J46" s="141"/>
      <c r="K46" s="141"/>
      <c r="L46" s="142"/>
      <c r="M46" s="141"/>
      <c r="N46" s="1"/>
      <c r="O46" s="1"/>
      <c r="S46" s="1"/>
      <c r="W46" s="1"/>
      <c r="X46" s="1"/>
      <c r="Y46" s="1"/>
      <c r="Z46" s="1"/>
      <c r="AF46" s="1"/>
    </row>
    <row r="47" spans="7:26" ht="15">
      <c r="G47" s="142"/>
      <c r="H47" s="142"/>
      <c r="I47" s="141"/>
      <c r="J47" s="142"/>
      <c r="K47" s="142"/>
      <c r="L47" s="142"/>
      <c r="M47" s="141"/>
      <c r="X47" s="1"/>
      <c r="Y47" s="1"/>
      <c r="Z47" s="1"/>
    </row>
    <row r="48" spans="7:13" ht="15">
      <c r="G48" s="142"/>
      <c r="H48" s="142"/>
      <c r="I48" s="142"/>
      <c r="J48" s="142"/>
      <c r="K48" s="142"/>
      <c r="L48" s="142"/>
      <c r="M48" s="141"/>
    </row>
  </sheetData>
  <sheetProtection/>
  <mergeCells count="4">
    <mergeCell ref="A3:Z3"/>
    <mergeCell ref="A4:B4"/>
    <mergeCell ref="C4:F4"/>
    <mergeCell ref="A5:B5"/>
  </mergeCells>
  <printOptions/>
  <pageMargins left="0.7" right="0.7" top="0.75" bottom="0.75" header="0.3" footer="0.3"/>
  <pageSetup horizontalDpi="600" verticalDpi="600" orientation="landscape" paperSize="9" scale="51" r:id="rId1"/>
  <headerFooter>
    <oddHeader>&amp;C.../2016 (X.26.) számú határozat
a Marcali Kistérségi Többcélú Társulás
2016. évi költségvetésének módosításáról</oddHead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T66"/>
  <sheetViews>
    <sheetView workbookViewId="0" topLeftCell="A43">
      <selection activeCell="C57" sqref="C57"/>
    </sheetView>
  </sheetViews>
  <sheetFormatPr defaultColWidth="9.140625" defaultRowHeight="15"/>
  <cols>
    <col min="1" max="1" width="62.140625" style="0" customWidth="1"/>
    <col min="6" max="6" width="9.7109375" style="0" bestFit="1" customWidth="1"/>
  </cols>
  <sheetData>
    <row r="1" spans="1:14" ht="15.75" thickBot="1">
      <c r="A1" s="4" t="s">
        <v>162</v>
      </c>
      <c r="N1" s="17" t="s">
        <v>20</v>
      </c>
    </row>
    <row r="2" spans="1:14" ht="15">
      <c r="A2" s="59" t="s">
        <v>55</v>
      </c>
      <c r="B2" s="60" t="s">
        <v>33</v>
      </c>
      <c r="C2" s="60" t="s">
        <v>34</v>
      </c>
      <c r="D2" s="60" t="s">
        <v>35</v>
      </c>
      <c r="E2" s="60" t="s">
        <v>36</v>
      </c>
      <c r="F2" s="60" t="s">
        <v>37</v>
      </c>
      <c r="G2" s="60" t="s">
        <v>38</v>
      </c>
      <c r="H2" s="60" t="s">
        <v>39</v>
      </c>
      <c r="I2" s="60" t="s">
        <v>40</v>
      </c>
      <c r="J2" s="60" t="s">
        <v>41</v>
      </c>
      <c r="K2" s="60" t="s">
        <v>42</v>
      </c>
      <c r="L2" s="60" t="s">
        <v>43</v>
      </c>
      <c r="M2" s="60" t="s">
        <v>44</v>
      </c>
      <c r="N2" s="61" t="s">
        <v>1</v>
      </c>
    </row>
    <row r="3" spans="1:14" ht="15">
      <c r="A3" s="13" t="s">
        <v>2</v>
      </c>
      <c r="B3" s="10">
        <f>B4</f>
        <v>3567</v>
      </c>
      <c r="C3" s="10">
        <f aca="true" t="shared" si="0" ref="C3:M3">C4</f>
        <v>4679</v>
      </c>
      <c r="D3" s="10">
        <f t="shared" si="0"/>
        <v>33126</v>
      </c>
      <c r="E3" s="10">
        <f t="shared" si="0"/>
        <v>132747</v>
      </c>
      <c r="F3" s="10">
        <f t="shared" si="0"/>
        <v>3567</v>
      </c>
      <c r="G3" s="10">
        <f t="shared" si="0"/>
        <v>3818</v>
      </c>
      <c r="H3" s="10">
        <f t="shared" si="0"/>
        <v>3567</v>
      </c>
      <c r="I3" s="10">
        <f t="shared" si="0"/>
        <v>4679</v>
      </c>
      <c r="J3" s="10">
        <f t="shared" si="0"/>
        <v>3567</v>
      </c>
      <c r="K3" s="10">
        <f t="shared" si="0"/>
        <v>5918</v>
      </c>
      <c r="L3" s="10">
        <f t="shared" si="0"/>
        <v>3567</v>
      </c>
      <c r="M3" s="10">
        <f t="shared" si="0"/>
        <v>3818</v>
      </c>
      <c r="N3" s="21">
        <f aca="true" t="shared" si="1" ref="N3:N13">SUM(B3:M3)</f>
        <v>206620</v>
      </c>
    </row>
    <row r="4" spans="1:18" ht="15">
      <c r="A4" s="5" t="s">
        <v>3</v>
      </c>
      <c r="B4" s="6">
        <v>3567</v>
      </c>
      <c r="C4" s="6">
        <f>1111+3568</f>
        <v>4679</v>
      </c>
      <c r="D4" s="6">
        <f>2355+27204+3567</f>
        <v>33126</v>
      </c>
      <c r="E4" s="6">
        <f>129179+3568</f>
        <v>132747</v>
      </c>
      <c r="F4" s="6">
        <v>3567</v>
      </c>
      <c r="G4" s="6">
        <f>250+3568</f>
        <v>3818</v>
      </c>
      <c r="H4" s="6">
        <v>3567</v>
      </c>
      <c r="I4" s="6">
        <f>1111+3568</f>
        <v>4679</v>
      </c>
      <c r="J4" s="6">
        <v>3567</v>
      </c>
      <c r="K4" s="6">
        <f>2350+3568</f>
        <v>5918</v>
      </c>
      <c r="L4" s="6">
        <v>3567</v>
      </c>
      <c r="M4" s="6">
        <f>250+3568</f>
        <v>3818</v>
      </c>
      <c r="N4" s="7">
        <f t="shared" si="1"/>
        <v>206620</v>
      </c>
      <c r="R4" s="1"/>
    </row>
    <row r="5" spans="1:14" ht="15">
      <c r="A5" s="13" t="s">
        <v>131</v>
      </c>
      <c r="B5" s="10">
        <f>SUM(B6:B11)</f>
        <v>52232</v>
      </c>
      <c r="C5" s="10">
        <f aca="true" t="shared" si="2" ref="C5:M5">SUM(C6:C11)</f>
        <v>51979</v>
      </c>
      <c r="D5" s="10">
        <f t="shared" si="2"/>
        <v>56768</v>
      </c>
      <c r="E5" s="10">
        <f t="shared" si="2"/>
        <v>55744</v>
      </c>
      <c r="F5" s="10">
        <f t="shared" si="2"/>
        <v>76598</v>
      </c>
      <c r="G5" s="10">
        <f t="shared" si="2"/>
        <v>88160</v>
      </c>
      <c r="H5" s="10">
        <f t="shared" si="2"/>
        <v>56556</v>
      </c>
      <c r="I5" s="10">
        <f t="shared" si="2"/>
        <v>53580</v>
      </c>
      <c r="J5" s="10">
        <f t="shared" si="2"/>
        <v>53085</v>
      </c>
      <c r="K5" s="10">
        <f t="shared" si="2"/>
        <v>53085</v>
      </c>
      <c r="L5" s="10">
        <f t="shared" si="2"/>
        <v>57709</v>
      </c>
      <c r="M5" s="10">
        <f t="shared" si="2"/>
        <v>75165</v>
      </c>
      <c r="N5" s="21">
        <f t="shared" si="1"/>
        <v>730661</v>
      </c>
    </row>
    <row r="6" spans="1:18" ht="15">
      <c r="A6" s="5" t="s">
        <v>135</v>
      </c>
      <c r="B6" s="6">
        <v>9677</v>
      </c>
      <c r="C6" s="6">
        <f>9677-253</f>
        <v>9424</v>
      </c>
      <c r="D6" s="6">
        <v>14213</v>
      </c>
      <c r="E6" s="6">
        <v>13075</v>
      </c>
      <c r="F6" s="6">
        <v>33929</v>
      </c>
      <c r="G6" s="6">
        <v>13892</v>
      </c>
      <c r="H6" s="6">
        <v>13892</v>
      </c>
      <c r="I6" s="6">
        <v>10351</v>
      </c>
      <c r="J6" s="6">
        <v>10351</v>
      </c>
      <c r="K6" s="6">
        <v>10351</v>
      </c>
      <c r="L6" s="6">
        <v>10351</v>
      </c>
      <c r="M6" s="6">
        <v>817</v>
      </c>
      <c r="N6" s="7">
        <f t="shared" si="1"/>
        <v>150323</v>
      </c>
      <c r="P6" s="112"/>
      <c r="Q6" s="1"/>
      <c r="R6" s="1"/>
    </row>
    <row r="7" spans="1:16" ht="15">
      <c r="A7" s="5" t="s">
        <v>136</v>
      </c>
      <c r="B7" s="6">
        <f>1952+339</f>
        <v>2291</v>
      </c>
      <c r="C7" s="6">
        <f>1952+339</f>
        <v>2291</v>
      </c>
      <c r="D7" s="6">
        <f>1952+339</f>
        <v>2291</v>
      </c>
      <c r="E7" s="6">
        <f>1952+453</f>
        <v>2405</v>
      </c>
      <c r="F7" s="6">
        <f>1952+453</f>
        <v>2405</v>
      </c>
      <c r="G7" s="6">
        <f>1952+448</f>
        <v>2400</v>
      </c>
      <c r="H7" s="6">
        <f>1952+448</f>
        <v>2400</v>
      </c>
      <c r="I7" s="6">
        <f>1952+1013</f>
        <v>2965</v>
      </c>
      <c r="J7" s="6">
        <f>1952+518</f>
        <v>2470</v>
      </c>
      <c r="K7" s="6">
        <f>1952+518</f>
        <v>2470</v>
      </c>
      <c r="L7" s="6">
        <f>1952+518</f>
        <v>2470</v>
      </c>
      <c r="M7" s="6">
        <f>1952+518+8</f>
        <v>2478</v>
      </c>
      <c r="N7" s="7">
        <f t="shared" si="1"/>
        <v>29336</v>
      </c>
      <c r="P7" s="112"/>
    </row>
    <row r="8" spans="1:16" ht="15">
      <c r="A8" s="5" t="s">
        <v>137</v>
      </c>
      <c r="B8" s="6">
        <v>40264</v>
      </c>
      <c r="C8" s="6">
        <v>40264</v>
      </c>
      <c r="D8" s="6">
        <v>40264</v>
      </c>
      <c r="E8" s="6">
        <v>40264</v>
      </c>
      <c r="F8" s="6">
        <v>40264</v>
      </c>
      <c r="G8" s="6">
        <f>40264+31604</f>
        <v>71868</v>
      </c>
      <c r="H8" s="6">
        <v>40264</v>
      </c>
      <c r="I8" s="6">
        <v>40264</v>
      </c>
      <c r="J8" s="6">
        <v>40264</v>
      </c>
      <c r="K8" s="6">
        <v>40264</v>
      </c>
      <c r="L8" s="6">
        <f>40264+4624</f>
        <v>44888</v>
      </c>
      <c r="M8" s="6">
        <f>40265+31605</f>
        <v>71870</v>
      </c>
      <c r="N8" s="7">
        <f t="shared" si="1"/>
        <v>551002</v>
      </c>
      <c r="P8" s="112"/>
    </row>
    <row r="9" spans="1:17" ht="15">
      <c r="A9" s="5" t="s">
        <v>138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>
        <f t="shared" si="1"/>
        <v>0</v>
      </c>
      <c r="Q9" s="1"/>
    </row>
    <row r="10" spans="1:14" ht="15">
      <c r="A10" s="5" t="s">
        <v>139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1"/>
        <v>0</v>
      </c>
    </row>
    <row r="11" spans="1:17" ht="15">
      <c r="A11" s="5" t="s">
        <v>140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1"/>
        <v>0</v>
      </c>
      <c r="Q11" s="1"/>
    </row>
    <row r="12" spans="1:14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1"/>
        <v>0</v>
      </c>
    </row>
    <row r="13" spans="1:14" ht="15">
      <c r="A13" s="13" t="s">
        <v>132</v>
      </c>
      <c r="B13" s="10">
        <f aca="true" t="shared" si="3" ref="B13:M13">SUM(B14:B15)</f>
        <v>0</v>
      </c>
      <c r="C13" s="10">
        <f t="shared" si="3"/>
        <v>0</v>
      </c>
      <c r="D13" s="10">
        <f t="shared" si="3"/>
        <v>0</v>
      </c>
      <c r="E13" s="10">
        <f t="shared" si="3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21">
        <f t="shared" si="1"/>
        <v>0</v>
      </c>
    </row>
    <row r="14" spans="1:14" ht="15">
      <c r="A14" s="5" t="s">
        <v>148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>SUM(B14:M14)</f>
        <v>0</v>
      </c>
    </row>
    <row r="15" spans="1:14" ht="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>
        <f>SUM(B15:M15)</f>
        <v>0</v>
      </c>
    </row>
    <row r="16" spans="1:14" ht="15">
      <c r="A16" s="13" t="s">
        <v>133</v>
      </c>
      <c r="B16" s="10">
        <f>SUM(B17:B18)</f>
        <v>0</v>
      </c>
      <c r="C16" s="10">
        <f aca="true" t="shared" si="4" ref="C16:M16">SUM(C17:C18)</f>
        <v>0</v>
      </c>
      <c r="D16" s="10">
        <f t="shared" si="4"/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0</v>
      </c>
      <c r="N16" s="21">
        <f aca="true" t="shared" si="5" ref="N16:N27">SUM(B16:M16)</f>
        <v>0</v>
      </c>
    </row>
    <row r="17" spans="1:14" ht="15">
      <c r="A17" s="5" t="s">
        <v>153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7" ht="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Q18" s="1"/>
    </row>
    <row r="19" spans="1:14" ht="15">
      <c r="A19" s="13" t="s">
        <v>134</v>
      </c>
      <c r="B19" s="10">
        <f>SUM(B20:B26)</f>
        <v>0</v>
      </c>
      <c r="C19" s="10">
        <f aca="true" t="shared" si="6" ref="C19:M19">SUM(C20:C26)</f>
        <v>0</v>
      </c>
      <c r="D19" s="10">
        <f t="shared" si="6"/>
        <v>0</v>
      </c>
      <c r="E19" s="10">
        <f t="shared" si="6"/>
        <v>0</v>
      </c>
      <c r="F19" s="10">
        <f t="shared" si="6"/>
        <v>0</v>
      </c>
      <c r="G19" s="10">
        <f t="shared" si="6"/>
        <v>0</v>
      </c>
      <c r="H19" s="10">
        <f t="shared" si="6"/>
        <v>0</v>
      </c>
      <c r="I19" s="10">
        <f t="shared" si="6"/>
        <v>0</v>
      </c>
      <c r="J19" s="10">
        <f t="shared" si="6"/>
        <v>0</v>
      </c>
      <c r="K19" s="10">
        <f t="shared" si="6"/>
        <v>0</v>
      </c>
      <c r="L19" s="10">
        <f t="shared" si="6"/>
        <v>0</v>
      </c>
      <c r="M19" s="10">
        <f t="shared" si="6"/>
        <v>0</v>
      </c>
      <c r="N19" s="21">
        <f t="shared" si="5"/>
        <v>0</v>
      </c>
    </row>
    <row r="20" spans="1:14" ht="15">
      <c r="A20" s="5" t="s">
        <v>141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5"/>
        <v>0</v>
      </c>
    </row>
    <row r="21" spans="1:14" ht="15">
      <c r="A21" s="5" t="s">
        <v>142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5"/>
        <v>0</v>
      </c>
    </row>
    <row r="22" spans="1:14" ht="15">
      <c r="A22" s="5" t="s">
        <v>143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f t="shared" si="5"/>
        <v>0</v>
      </c>
    </row>
    <row r="23" spans="1:20" ht="15">
      <c r="A23" s="5" t="s">
        <v>144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5"/>
        <v>0</v>
      </c>
      <c r="S23" s="1"/>
      <c r="T23" s="1"/>
    </row>
    <row r="24" spans="1:14" ht="15">
      <c r="A24" s="5" t="s">
        <v>145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 t="shared" si="5"/>
        <v>0</v>
      </c>
    </row>
    <row r="25" spans="1:14" ht="15">
      <c r="A25" s="5" t="s">
        <v>146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5"/>
        <v>0</v>
      </c>
    </row>
    <row r="26" spans="1:14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si="5"/>
        <v>0</v>
      </c>
    </row>
    <row r="27" spans="1:14" ht="15">
      <c r="A27" s="13" t="s">
        <v>147</v>
      </c>
      <c r="B27" s="10">
        <f>SUM(B28:B29)</f>
        <v>0</v>
      </c>
      <c r="C27" s="10">
        <f aca="true" t="shared" si="7" ref="C27:M27">SUM(C28:C29)</f>
        <v>0</v>
      </c>
      <c r="D27" s="10">
        <f t="shared" si="7"/>
        <v>0</v>
      </c>
      <c r="E27" s="10">
        <f t="shared" si="7"/>
        <v>0</v>
      </c>
      <c r="F27" s="10">
        <f t="shared" si="7"/>
        <v>0</v>
      </c>
      <c r="G27" s="10">
        <f t="shared" si="7"/>
        <v>0</v>
      </c>
      <c r="H27" s="10">
        <f t="shared" si="7"/>
        <v>0</v>
      </c>
      <c r="I27" s="10">
        <f t="shared" si="7"/>
        <v>0</v>
      </c>
      <c r="J27" s="10">
        <f t="shared" si="7"/>
        <v>0</v>
      </c>
      <c r="K27" s="10">
        <f t="shared" si="7"/>
        <v>0</v>
      </c>
      <c r="L27" s="10">
        <f t="shared" si="7"/>
        <v>0</v>
      </c>
      <c r="M27" s="10">
        <f t="shared" si="7"/>
        <v>0</v>
      </c>
      <c r="N27" s="21">
        <f t="shared" si="5"/>
        <v>0</v>
      </c>
    </row>
    <row r="28" spans="1:14" ht="15">
      <c r="A28" s="5" t="s">
        <v>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ht="15">
      <c r="A29" s="5" t="s">
        <v>124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5">
      <c r="A31" s="13" t="s">
        <v>149</v>
      </c>
      <c r="B31" s="10">
        <f>SUM(B32)</f>
        <v>0</v>
      </c>
      <c r="C31" s="10">
        <f aca="true" t="shared" si="8" ref="C31:M31">SUM(C32)</f>
        <v>0</v>
      </c>
      <c r="D31" s="10">
        <f t="shared" si="8"/>
        <v>0</v>
      </c>
      <c r="E31" s="10">
        <f t="shared" si="8"/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  <c r="K31" s="10">
        <f t="shared" si="8"/>
        <v>0</v>
      </c>
      <c r="L31" s="10">
        <f t="shared" si="8"/>
        <v>0</v>
      </c>
      <c r="M31" s="10">
        <f t="shared" si="8"/>
        <v>0</v>
      </c>
      <c r="N31" s="21">
        <f>SUM(B31:M31)</f>
        <v>0</v>
      </c>
    </row>
    <row r="32" spans="1:14" ht="15">
      <c r="A32" s="5" t="s">
        <v>150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ht="26.25">
      <c r="A34" s="13" t="s">
        <v>5</v>
      </c>
      <c r="B34" s="10">
        <f>B35+B38</f>
        <v>13194</v>
      </c>
      <c r="C34" s="10">
        <f aca="true" t="shared" si="9" ref="C34:M34">C35+C38</f>
        <v>0</v>
      </c>
      <c r="D34" s="10">
        <f t="shared" si="9"/>
        <v>0</v>
      </c>
      <c r="E34" s="10">
        <f t="shared" si="9"/>
        <v>0</v>
      </c>
      <c r="F34" s="10">
        <f t="shared" si="9"/>
        <v>0</v>
      </c>
      <c r="G34" s="10">
        <f t="shared" si="9"/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21">
        <f aca="true" t="shared" si="10" ref="N34:N45">SUM(B34:M34)</f>
        <v>13194</v>
      </c>
    </row>
    <row r="35" spans="1:14" ht="15">
      <c r="A35" s="8" t="s">
        <v>6</v>
      </c>
      <c r="B35" s="6">
        <f>SUM(B36:B37)</f>
        <v>13194</v>
      </c>
      <c r="C35" s="6">
        <f aca="true" t="shared" si="11" ref="C35:M35">SUM(C36:C37)</f>
        <v>0</v>
      </c>
      <c r="D35" s="6">
        <f t="shared" si="11"/>
        <v>0</v>
      </c>
      <c r="E35" s="6">
        <f t="shared" si="11"/>
        <v>0</v>
      </c>
      <c r="F35" s="6">
        <f t="shared" si="11"/>
        <v>0</v>
      </c>
      <c r="G35" s="6">
        <f t="shared" si="11"/>
        <v>0</v>
      </c>
      <c r="H35" s="6">
        <f t="shared" si="11"/>
        <v>0</v>
      </c>
      <c r="I35" s="6">
        <f t="shared" si="11"/>
        <v>0</v>
      </c>
      <c r="J35" s="6">
        <f t="shared" si="11"/>
        <v>0</v>
      </c>
      <c r="K35" s="6">
        <f t="shared" si="11"/>
        <v>0</v>
      </c>
      <c r="L35" s="6">
        <f t="shared" si="11"/>
        <v>0</v>
      </c>
      <c r="M35" s="6">
        <f t="shared" si="11"/>
        <v>0</v>
      </c>
      <c r="N35" s="7">
        <f t="shared" si="10"/>
        <v>13194</v>
      </c>
    </row>
    <row r="36" spans="1:14" ht="15">
      <c r="A36" s="5" t="s">
        <v>7</v>
      </c>
      <c r="B36" s="67">
        <v>13194</v>
      </c>
      <c r="C36" s="67">
        <v>0</v>
      </c>
      <c r="D36" s="67"/>
      <c r="E36" s="6"/>
      <c r="F36" s="6"/>
      <c r="G36" s="6"/>
      <c r="H36" s="6"/>
      <c r="I36" s="6"/>
      <c r="J36" s="6"/>
      <c r="K36" s="6"/>
      <c r="L36" s="6"/>
      <c r="M36" s="6"/>
      <c r="N36" s="7">
        <f t="shared" si="10"/>
        <v>13194</v>
      </c>
    </row>
    <row r="37" spans="1:14" ht="15">
      <c r="A37" s="5" t="s">
        <v>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>
        <f t="shared" si="10"/>
        <v>0</v>
      </c>
    </row>
    <row r="38" spans="1:14" ht="15">
      <c r="A38" s="66" t="s">
        <v>9</v>
      </c>
      <c r="B38" s="67">
        <f>SUM(B39:B40)</f>
        <v>0</v>
      </c>
      <c r="C38" s="67">
        <f aca="true" t="shared" si="12" ref="C38:M38">SUM(C39:C40)</f>
        <v>0</v>
      </c>
      <c r="D38" s="67">
        <f t="shared" si="12"/>
        <v>0</v>
      </c>
      <c r="E38" s="67">
        <f t="shared" si="12"/>
        <v>0</v>
      </c>
      <c r="F38" s="67">
        <f t="shared" si="12"/>
        <v>0</v>
      </c>
      <c r="G38" s="67">
        <f t="shared" si="12"/>
        <v>0</v>
      </c>
      <c r="H38" s="67">
        <f t="shared" si="12"/>
        <v>0</v>
      </c>
      <c r="I38" s="67">
        <f t="shared" si="12"/>
        <v>0</v>
      </c>
      <c r="J38" s="67">
        <f t="shared" si="12"/>
        <v>0</v>
      </c>
      <c r="K38" s="67">
        <f t="shared" si="12"/>
        <v>0</v>
      </c>
      <c r="L38" s="67">
        <f t="shared" si="12"/>
        <v>0</v>
      </c>
      <c r="M38" s="67">
        <f t="shared" si="12"/>
        <v>0</v>
      </c>
      <c r="N38" s="7">
        <f t="shared" si="10"/>
        <v>0</v>
      </c>
    </row>
    <row r="39" spans="1:14" ht="15">
      <c r="A39" s="5" t="s">
        <v>10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f t="shared" si="10"/>
        <v>0</v>
      </c>
    </row>
    <row r="40" spans="1:14" ht="15">
      <c r="A40" s="5" t="s">
        <v>11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>
        <f t="shared" si="10"/>
        <v>0</v>
      </c>
    </row>
    <row r="41" spans="1:14" ht="15">
      <c r="A41" s="167" t="s">
        <v>188</v>
      </c>
      <c r="B41" s="10">
        <f>B42+B43</f>
        <v>0</v>
      </c>
      <c r="C41" s="10">
        <f aca="true" t="shared" si="13" ref="C41:N41">C42+C43</f>
        <v>122196</v>
      </c>
      <c r="D41" s="10">
        <f t="shared" si="13"/>
        <v>0</v>
      </c>
      <c r="E41" s="10">
        <f t="shared" si="13"/>
        <v>0</v>
      </c>
      <c r="F41" s="10">
        <f t="shared" si="13"/>
        <v>0</v>
      </c>
      <c r="G41" s="10">
        <f t="shared" si="13"/>
        <v>0</v>
      </c>
      <c r="H41" s="10">
        <f t="shared" si="13"/>
        <v>0</v>
      </c>
      <c r="I41" s="10">
        <f t="shared" si="13"/>
        <v>0</v>
      </c>
      <c r="J41" s="10">
        <f t="shared" si="13"/>
        <v>0</v>
      </c>
      <c r="K41" s="10">
        <f t="shared" si="13"/>
        <v>0</v>
      </c>
      <c r="L41" s="10">
        <f t="shared" si="13"/>
        <v>0</v>
      </c>
      <c r="M41" s="10">
        <f t="shared" si="13"/>
        <v>0</v>
      </c>
      <c r="N41" s="21">
        <f t="shared" si="13"/>
        <v>122196</v>
      </c>
    </row>
    <row r="42" spans="1:14" ht="15">
      <c r="A42" s="8" t="s">
        <v>189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f>SUM(B42:M42)</f>
        <v>0</v>
      </c>
    </row>
    <row r="43" spans="1:14" ht="15">
      <c r="A43" s="8" t="s">
        <v>190</v>
      </c>
      <c r="B43" s="6"/>
      <c r="C43" s="6">
        <v>122196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7">
        <f>SUM(B43:M43)</f>
        <v>122196</v>
      </c>
    </row>
    <row r="44" spans="1:14" ht="15">
      <c r="A44" s="62" t="s">
        <v>45</v>
      </c>
      <c r="B44" s="49">
        <f>B34+B19+B16+B13+B5+B3+B27+B31+B41</f>
        <v>68993</v>
      </c>
      <c r="C44" s="49">
        <f aca="true" t="shared" si="14" ref="C44:N44">C34+C19+C16+C13+C5+C3+C27+C31+C41</f>
        <v>178854</v>
      </c>
      <c r="D44" s="49">
        <f t="shared" si="14"/>
        <v>89894</v>
      </c>
      <c r="E44" s="49">
        <f t="shared" si="14"/>
        <v>188491</v>
      </c>
      <c r="F44" s="49">
        <f t="shared" si="14"/>
        <v>80165</v>
      </c>
      <c r="G44" s="49">
        <f t="shared" si="14"/>
        <v>91978</v>
      </c>
      <c r="H44" s="49">
        <f t="shared" si="14"/>
        <v>60123</v>
      </c>
      <c r="I44" s="49">
        <f t="shared" si="14"/>
        <v>58259</v>
      </c>
      <c r="J44" s="49">
        <f t="shared" si="14"/>
        <v>56652</v>
      </c>
      <c r="K44" s="49">
        <f t="shared" si="14"/>
        <v>59003</v>
      </c>
      <c r="L44" s="49">
        <f t="shared" si="14"/>
        <v>61276</v>
      </c>
      <c r="M44" s="49">
        <f t="shared" si="14"/>
        <v>78983</v>
      </c>
      <c r="N44" s="50">
        <f t="shared" si="14"/>
        <v>1072671</v>
      </c>
    </row>
    <row r="45" spans="1:14" ht="15">
      <c r="A45" s="65" t="s">
        <v>27</v>
      </c>
      <c r="B45" s="10">
        <f aca="true" t="shared" si="15" ref="B45:L45">SUM(B46:B51)</f>
        <v>56440</v>
      </c>
      <c r="C45" s="10">
        <f t="shared" si="15"/>
        <v>59749</v>
      </c>
      <c r="D45" s="10">
        <f t="shared" si="15"/>
        <v>65787</v>
      </c>
      <c r="E45" s="10">
        <f t="shared" si="15"/>
        <v>68460</v>
      </c>
      <c r="F45" s="10">
        <f t="shared" si="15"/>
        <v>67625</v>
      </c>
      <c r="G45" s="10">
        <f t="shared" si="15"/>
        <v>75968.5</v>
      </c>
      <c r="H45" s="10">
        <f t="shared" si="15"/>
        <v>58306</v>
      </c>
      <c r="I45" s="10">
        <f t="shared" si="15"/>
        <v>60394</v>
      </c>
      <c r="J45" s="10">
        <f t="shared" si="15"/>
        <v>58376</v>
      </c>
      <c r="K45" s="10">
        <f t="shared" si="15"/>
        <v>58376</v>
      </c>
      <c r="L45" s="10">
        <f t="shared" si="15"/>
        <v>80528</v>
      </c>
      <c r="M45" s="10">
        <f>SUM(M46:M51)</f>
        <v>60611</v>
      </c>
      <c r="N45" s="21">
        <f t="shared" si="10"/>
        <v>770620.5</v>
      </c>
    </row>
    <row r="46" spans="1:18" ht="15">
      <c r="A46" s="40" t="s">
        <v>17</v>
      </c>
      <c r="B46" s="6">
        <v>33103</v>
      </c>
      <c r="C46" s="6">
        <v>33103</v>
      </c>
      <c r="D46" s="6">
        <v>43103</v>
      </c>
      <c r="E46" s="6">
        <v>43103</v>
      </c>
      <c r="F46" s="6">
        <v>38103</v>
      </c>
      <c r="G46" s="6">
        <v>38109</v>
      </c>
      <c r="H46" s="6">
        <v>38103</v>
      </c>
      <c r="I46" s="6">
        <v>38103</v>
      </c>
      <c r="J46" s="6">
        <v>38103</v>
      </c>
      <c r="K46" s="6">
        <v>38103</v>
      </c>
      <c r="L46" s="6">
        <v>38103</v>
      </c>
      <c r="M46" s="6">
        <v>38103</v>
      </c>
      <c r="N46" s="7">
        <f aca="true" t="shared" si="16" ref="N46:N61">SUM(B46:M46)</f>
        <v>457242</v>
      </c>
      <c r="P46" s="112"/>
      <c r="Q46" s="1"/>
      <c r="R46" s="1"/>
    </row>
    <row r="47" spans="1:20" ht="15">
      <c r="A47" s="40" t="s">
        <v>18</v>
      </c>
      <c r="B47" s="6">
        <v>6983</v>
      </c>
      <c r="C47" s="6">
        <v>6983</v>
      </c>
      <c r="D47" s="6">
        <v>10983</v>
      </c>
      <c r="E47" s="6">
        <v>10983</v>
      </c>
      <c r="F47" s="6">
        <v>8983</v>
      </c>
      <c r="G47" s="6">
        <v>8992</v>
      </c>
      <c r="H47" s="6">
        <v>8983</v>
      </c>
      <c r="I47" s="6">
        <v>8983</v>
      </c>
      <c r="J47" s="6">
        <v>8983</v>
      </c>
      <c r="K47" s="6">
        <v>8983</v>
      </c>
      <c r="L47" s="6">
        <v>8983</v>
      </c>
      <c r="M47" s="6">
        <v>8983</v>
      </c>
      <c r="N47" s="7">
        <f t="shared" si="16"/>
        <v>107805</v>
      </c>
      <c r="Q47" s="1"/>
      <c r="T47" s="1"/>
    </row>
    <row r="48" spans="1:18" ht="15">
      <c r="A48" s="40" t="s">
        <v>19</v>
      </c>
      <c r="B48" s="6">
        <f>5783/2+(6855-150*12)/2+10596</f>
        <v>16015</v>
      </c>
      <c r="C48" s="6">
        <f>4536+2892+150+10596</f>
        <v>18174</v>
      </c>
      <c r="D48" s="6">
        <f>150+591+10596</f>
        <v>11337</v>
      </c>
      <c r="E48" s="6">
        <f>300+3000+10596</f>
        <v>13896</v>
      </c>
      <c r="F48" s="6">
        <f>150+9315+10596</f>
        <v>20061</v>
      </c>
      <c r="G48" s="6">
        <f>1500+(6855-150*12)/2+150+10596</f>
        <v>14773.5</v>
      </c>
      <c r="H48" s="6">
        <f>150+10596</f>
        <v>10746</v>
      </c>
      <c r="I48" s="6">
        <f>150+1524+10596</f>
        <v>12270</v>
      </c>
      <c r="J48" s="6">
        <f>150+10596</f>
        <v>10746</v>
      </c>
      <c r="K48" s="6">
        <f>150+10596</f>
        <v>10746</v>
      </c>
      <c r="L48" s="6">
        <f>150+10596</f>
        <v>10746</v>
      </c>
      <c r="M48" s="6">
        <f>2250+150+10596-17</f>
        <v>12979</v>
      </c>
      <c r="N48" s="7">
        <f t="shared" si="16"/>
        <v>162489.5</v>
      </c>
      <c r="P48" s="112"/>
      <c r="Q48" s="112"/>
      <c r="R48" s="1"/>
    </row>
    <row r="49" spans="1:16" ht="15">
      <c r="A49" s="56" t="s">
        <v>120</v>
      </c>
      <c r="B49" s="6"/>
      <c r="C49" s="6"/>
      <c r="D49" s="6"/>
      <c r="E49" s="6"/>
      <c r="F49" s="6"/>
      <c r="G49" s="6">
        <v>13620</v>
      </c>
      <c r="H49" s="6"/>
      <c r="I49" s="6"/>
      <c r="J49" s="6"/>
      <c r="K49" s="6"/>
      <c r="L49" s="6">
        <v>22152</v>
      </c>
      <c r="M49" s="6"/>
      <c r="N49" s="7">
        <f t="shared" si="16"/>
        <v>35772</v>
      </c>
      <c r="P49" s="112"/>
    </row>
    <row r="50" spans="1:16" ht="15">
      <c r="A50" s="40" t="s">
        <v>121</v>
      </c>
      <c r="B50" s="6">
        <v>339</v>
      </c>
      <c r="C50" s="6">
        <f>339+1150</f>
        <v>1489</v>
      </c>
      <c r="D50" s="6">
        <v>339</v>
      </c>
      <c r="E50" s="6">
        <v>453</v>
      </c>
      <c r="F50" s="6">
        <v>453</v>
      </c>
      <c r="G50" s="6">
        <v>449</v>
      </c>
      <c r="H50" s="6">
        <v>449</v>
      </c>
      <c r="I50" s="6">
        <v>1013</v>
      </c>
      <c r="J50" s="6">
        <v>519</v>
      </c>
      <c r="K50" s="6">
        <v>519</v>
      </c>
      <c r="L50" s="6">
        <v>519</v>
      </c>
      <c r="M50" s="6">
        <v>521</v>
      </c>
      <c r="N50" s="7">
        <f t="shared" si="16"/>
        <v>7062</v>
      </c>
      <c r="P50" s="112"/>
    </row>
    <row r="51" spans="1:16" ht="15">
      <c r="A51" s="40" t="s">
        <v>111</v>
      </c>
      <c r="B51" s="6"/>
      <c r="C51" s="6"/>
      <c r="D51" s="6">
        <v>25</v>
      </c>
      <c r="E51" s="6">
        <v>25</v>
      </c>
      <c r="F51" s="6">
        <v>25</v>
      </c>
      <c r="G51" s="6">
        <v>25</v>
      </c>
      <c r="H51" s="6">
        <v>25</v>
      </c>
      <c r="I51" s="6">
        <v>25</v>
      </c>
      <c r="J51" s="6">
        <v>25</v>
      </c>
      <c r="K51" s="6">
        <v>25</v>
      </c>
      <c r="L51" s="6">
        <v>25</v>
      </c>
      <c r="M51" s="6">
        <v>25</v>
      </c>
      <c r="N51" s="7">
        <f t="shared" si="16"/>
        <v>250</v>
      </c>
      <c r="P51" s="112"/>
    </row>
    <row r="52" spans="1:16" ht="15">
      <c r="A52" s="64" t="s">
        <v>32</v>
      </c>
      <c r="B52" s="10">
        <f>SUM(B53:B55)</f>
        <v>0</v>
      </c>
      <c r="C52" s="10">
        <f aca="true" t="shared" si="17" ref="C52:M52">SUM(C53:C55)</f>
        <v>122796</v>
      </c>
      <c r="D52" s="10">
        <f t="shared" si="17"/>
        <v>0</v>
      </c>
      <c r="E52" s="10">
        <f t="shared" si="17"/>
        <v>2500</v>
      </c>
      <c r="F52" s="10">
        <f t="shared" si="17"/>
        <v>10722</v>
      </c>
      <c r="G52" s="10">
        <f t="shared" si="17"/>
        <v>0</v>
      </c>
      <c r="H52" s="10">
        <f t="shared" si="17"/>
        <v>350</v>
      </c>
      <c r="I52" s="10">
        <f t="shared" si="17"/>
        <v>0</v>
      </c>
      <c r="J52" s="10">
        <f t="shared" si="17"/>
        <v>0</v>
      </c>
      <c r="K52" s="10">
        <f t="shared" si="17"/>
        <v>0</v>
      </c>
      <c r="L52" s="10">
        <f t="shared" si="17"/>
        <v>797</v>
      </c>
      <c r="M52" s="10">
        <f t="shared" si="17"/>
        <v>0</v>
      </c>
      <c r="N52" s="21">
        <f t="shared" si="16"/>
        <v>137165</v>
      </c>
      <c r="P52" s="112"/>
    </row>
    <row r="53" spans="1:17" ht="15">
      <c r="A53" s="18" t="s">
        <v>113</v>
      </c>
      <c r="B53" s="6"/>
      <c r="C53" s="6"/>
      <c r="D53" s="6"/>
      <c r="E53" s="6">
        <v>2500</v>
      </c>
      <c r="F53" s="6">
        <v>10722</v>
      </c>
      <c r="G53" s="6"/>
      <c r="H53" s="6">
        <v>350</v>
      </c>
      <c r="I53" s="6"/>
      <c r="J53" s="6"/>
      <c r="K53" s="6"/>
      <c r="L53" s="6"/>
      <c r="M53" s="6"/>
      <c r="N53" s="7">
        <f t="shared" si="16"/>
        <v>13572</v>
      </c>
      <c r="P53" s="112"/>
      <c r="Q53" s="1"/>
    </row>
    <row r="54" spans="1:14" ht="15">
      <c r="A54" s="18" t="s">
        <v>116</v>
      </c>
      <c r="B54" s="6"/>
      <c r="C54" s="6">
        <f>600</f>
        <v>600</v>
      </c>
      <c r="D54" s="6"/>
      <c r="E54" s="6"/>
      <c r="F54" s="6"/>
      <c r="G54" s="6"/>
      <c r="H54" s="6"/>
      <c r="I54" s="6"/>
      <c r="J54" s="6"/>
      <c r="K54" s="6"/>
      <c r="L54" s="6">
        <v>797</v>
      </c>
      <c r="M54" s="6"/>
      <c r="N54" s="7">
        <f t="shared" si="16"/>
        <v>1397</v>
      </c>
    </row>
    <row r="55" spans="1:14" ht="15">
      <c r="A55" s="18" t="s">
        <v>117</v>
      </c>
      <c r="B55" s="6">
        <f>SUM(B56:B57)</f>
        <v>0</v>
      </c>
      <c r="C55" s="6">
        <f aca="true" t="shared" si="18" ref="C55:M55">SUM(C56:C57)</f>
        <v>122196</v>
      </c>
      <c r="D55" s="6">
        <f t="shared" si="18"/>
        <v>0</v>
      </c>
      <c r="E55" s="6">
        <f t="shared" si="18"/>
        <v>0</v>
      </c>
      <c r="F55" s="6">
        <f t="shared" si="18"/>
        <v>0</v>
      </c>
      <c r="G55" s="6">
        <f t="shared" si="18"/>
        <v>0</v>
      </c>
      <c r="H55" s="6">
        <f t="shared" si="18"/>
        <v>0</v>
      </c>
      <c r="I55" s="6">
        <f t="shared" si="18"/>
        <v>0</v>
      </c>
      <c r="J55" s="6">
        <f t="shared" si="18"/>
        <v>0</v>
      </c>
      <c r="K55" s="6">
        <f t="shared" si="18"/>
        <v>0</v>
      </c>
      <c r="L55" s="6">
        <f t="shared" si="18"/>
        <v>0</v>
      </c>
      <c r="M55" s="6">
        <f t="shared" si="18"/>
        <v>0</v>
      </c>
      <c r="N55" s="7">
        <f t="shared" si="16"/>
        <v>122196</v>
      </c>
    </row>
    <row r="56" spans="1:14" ht="15">
      <c r="A56" s="19" t="s">
        <v>114</v>
      </c>
      <c r="B56" s="6"/>
      <c r="C56" s="6">
        <v>122196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f t="shared" si="16"/>
        <v>122196</v>
      </c>
    </row>
    <row r="57" spans="1:14" ht="15">
      <c r="A57" s="19" t="s">
        <v>115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>
        <f t="shared" si="16"/>
        <v>0</v>
      </c>
    </row>
    <row r="58" spans="1:14" ht="15">
      <c r="A58" s="20" t="s">
        <v>158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f>32858+82</f>
        <v>32940</v>
      </c>
      <c r="N58" s="21">
        <f t="shared" si="16"/>
        <v>32940</v>
      </c>
    </row>
    <row r="59" spans="1:14" ht="15">
      <c r="A59" s="20" t="s">
        <v>159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>
        <v>9749</v>
      </c>
      <c r="N59" s="21">
        <f t="shared" si="16"/>
        <v>9749</v>
      </c>
    </row>
    <row r="60" spans="1:14" ht="15">
      <c r="A60" s="159" t="s">
        <v>191</v>
      </c>
      <c r="B60" s="172">
        <f>B61</f>
        <v>0</v>
      </c>
      <c r="C60" s="172">
        <f aca="true" t="shared" si="19" ref="C60:M60">C61</f>
        <v>0</v>
      </c>
      <c r="D60" s="172">
        <f t="shared" si="19"/>
        <v>0</v>
      </c>
      <c r="E60" s="172">
        <f t="shared" si="19"/>
        <v>122196</v>
      </c>
      <c r="F60" s="172">
        <f t="shared" si="19"/>
        <v>0</v>
      </c>
      <c r="G60" s="172">
        <f t="shared" si="19"/>
        <v>0</v>
      </c>
      <c r="H60" s="172">
        <f t="shared" si="19"/>
        <v>0</v>
      </c>
      <c r="I60" s="172">
        <f t="shared" si="19"/>
        <v>0</v>
      </c>
      <c r="J60" s="172">
        <f t="shared" si="19"/>
        <v>0</v>
      </c>
      <c r="K60" s="172">
        <f t="shared" si="19"/>
        <v>0</v>
      </c>
      <c r="L60" s="172">
        <f t="shared" si="19"/>
        <v>0</v>
      </c>
      <c r="M60" s="172">
        <f t="shared" si="19"/>
        <v>0</v>
      </c>
      <c r="N60" s="173">
        <f t="shared" si="16"/>
        <v>122196</v>
      </c>
    </row>
    <row r="61" spans="1:14" ht="25.5">
      <c r="A61" s="166" t="s">
        <v>192</v>
      </c>
      <c r="B61" s="174"/>
      <c r="C61" s="174"/>
      <c r="D61" s="174"/>
      <c r="E61" s="174">
        <v>122196</v>
      </c>
      <c r="F61" s="174"/>
      <c r="G61" s="174"/>
      <c r="H61" s="174"/>
      <c r="I61" s="174"/>
      <c r="J61" s="174"/>
      <c r="K61" s="174"/>
      <c r="L61" s="174"/>
      <c r="M61" s="174"/>
      <c r="N61" s="175">
        <f t="shared" si="16"/>
        <v>122196</v>
      </c>
    </row>
    <row r="62" spans="1:14" ht="15.75" thickBot="1">
      <c r="A62" s="53" t="s">
        <v>46</v>
      </c>
      <c r="B62" s="28">
        <f>B59+B58+B52+B45+B60</f>
        <v>56440</v>
      </c>
      <c r="C62" s="28">
        <f aca="true" t="shared" si="20" ref="C62:M62">C59+C58+C52+C45+C60</f>
        <v>182545</v>
      </c>
      <c r="D62" s="28">
        <f t="shared" si="20"/>
        <v>65787</v>
      </c>
      <c r="E62" s="28">
        <f t="shared" si="20"/>
        <v>193156</v>
      </c>
      <c r="F62" s="28">
        <f t="shared" si="20"/>
        <v>78347</v>
      </c>
      <c r="G62" s="28">
        <f t="shared" si="20"/>
        <v>75968.5</v>
      </c>
      <c r="H62" s="28">
        <f t="shared" si="20"/>
        <v>58656</v>
      </c>
      <c r="I62" s="28">
        <f t="shared" si="20"/>
        <v>60394</v>
      </c>
      <c r="J62" s="28">
        <f t="shared" si="20"/>
        <v>58376</v>
      </c>
      <c r="K62" s="28">
        <f t="shared" si="20"/>
        <v>58376</v>
      </c>
      <c r="L62" s="28">
        <f t="shared" si="20"/>
        <v>81325</v>
      </c>
      <c r="M62" s="28">
        <f t="shared" si="20"/>
        <v>103300</v>
      </c>
      <c r="N62" s="63">
        <f>SUM(B62:M62)</f>
        <v>1072670.5</v>
      </c>
    </row>
    <row r="63" ht="15">
      <c r="N63" s="1"/>
    </row>
    <row r="64" spans="2:1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ht="15">
      <c r="N65" s="1"/>
    </row>
    <row r="66" ht="15">
      <c r="N66" s="1"/>
    </row>
  </sheetData>
  <sheetProtection/>
  <printOptions/>
  <pageMargins left="0.7" right="0.7" top="0.75" bottom="0.75" header="0.3" footer="0.3"/>
  <pageSetup horizontalDpi="600" verticalDpi="600" orientation="portrait" paperSize="9" scale="45" r:id="rId2"/>
  <headerFooter>
    <oddHeader>&amp;L&amp;G&amp;C.../2016 (X.26.) számú határozat
a Marcali Kistérségi Többcélú Társulás
2016. évi költségvetésének módosításáról</oddHeader>
    <oddFooter>&amp;C&amp;P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70"/>
  <sheetViews>
    <sheetView workbookViewId="0" topLeftCell="A49">
      <selection activeCell="J61" sqref="J61"/>
    </sheetView>
  </sheetViews>
  <sheetFormatPr defaultColWidth="9.140625" defaultRowHeight="15"/>
  <cols>
    <col min="1" max="1" width="68.00390625" style="0" customWidth="1"/>
    <col min="2" max="5" width="11.28125" style="0" customWidth="1"/>
    <col min="6" max="6" width="10.28125" style="0" customWidth="1"/>
    <col min="7" max="7" width="11.8515625" style="0" customWidth="1"/>
    <col min="8" max="8" width="9.28125" style="0" bestFit="1" customWidth="1"/>
    <col min="9" max="9" width="9.28125" style="0" customWidth="1"/>
    <col min="10" max="10" width="11.421875" style="0" customWidth="1"/>
    <col min="11" max="11" width="13.28125" style="0" customWidth="1"/>
    <col min="12" max="12" width="14.28125" style="0" customWidth="1"/>
    <col min="13" max="13" width="11.421875" style="0" customWidth="1"/>
  </cols>
  <sheetData>
    <row r="1" spans="1:13" ht="15.75" thickBot="1">
      <c r="A1" s="4" t="s">
        <v>163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 t="s">
        <v>20</v>
      </c>
    </row>
    <row r="2" spans="1:13" ht="38.25">
      <c r="A2" s="135"/>
      <c r="B2" s="201" t="s">
        <v>155</v>
      </c>
      <c r="C2" s="201"/>
      <c r="D2" s="201"/>
      <c r="E2" s="201"/>
      <c r="F2" s="201"/>
      <c r="G2" s="201"/>
      <c r="H2" s="201"/>
      <c r="I2" s="201"/>
      <c r="J2" s="201"/>
      <c r="K2" s="136" t="s">
        <v>156</v>
      </c>
      <c r="L2" s="136" t="s">
        <v>157</v>
      </c>
      <c r="M2" s="202" t="s">
        <v>16</v>
      </c>
    </row>
    <row r="3" spans="1:13" ht="15" customHeight="1">
      <c r="A3" s="206"/>
      <c r="B3" s="200" t="s">
        <v>168</v>
      </c>
      <c r="C3" s="200" t="s">
        <v>169</v>
      </c>
      <c r="D3" s="204" t="s">
        <v>98</v>
      </c>
      <c r="E3" s="204" t="s">
        <v>164</v>
      </c>
      <c r="F3" s="200" t="s">
        <v>106</v>
      </c>
      <c r="G3" s="200" t="s">
        <v>130</v>
      </c>
      <c r="H3" s="200" t="s">
        <v>56</v>
      </c>
      <c r="I3" s="204" t="s">
        <v>215</v>
      </c>
      <c r="J3" s="204" t="s">
        <v>195</v>
      </c>
      <c r="K3" s="200" t="s">
        <v>95</v>
      </c>
      <c r="L3" s="200" t="s">
        <v>178</v>
      </c>
      <c r="M3" s="203"/>
    </row>
    <row r="4" spans="1:13" ht="46.5" customHeight="1">
      <c r="A4" s="206"/>
      <c r="B4" s="200"/>
      <c r="C4" s="200"/>
      <c r="D4" s="205"/>
      <c r="E4" s="205"/>
      <c r="F4" s="200"/>
      <c r="G4" s="200"/>
      <c r="H4" s="200"/>
      <c r="I4" s="205"/>
      <c r="J4" s="205"/>
      <c r="K4" s="200"/>
      <c r="L4" s="200"/>
      <c r="M4" s="203"/>
    </row>
    <row r="5" spans="1:13" ht="15">
      <c r="A5" s="13" t="s">
        <v>2</v>
      </c>
      <c r="B5" s="69">
        <f>B6</f>
        <v>4705</v>
      </c>
      <c r="C5" s="69">
        <f>C6</f>
        <v>0</v>
      </c>
      <c r="D5" s="69">
        <f>D6</f>
        <v>0</v>
      </c>
      <c r="E5" s="69">
        <f>E6</f>
        <v>25904</v>
      </c>
      <c r="F5" s="69">
        <f aca="true" t="shared" si="0" ref="F5:M5">F6</f>
        <v>0</v>
      </c>
      <c r="G5" s="69">
        <f t="shared" si="0"/>
        <v>0</v>
      </c>
      <c r="H5" s="69">
        <f t="shared" si="0"/>
        <v>0</v>
      </c>
      <c r="I5" s="69">
        <f t="shared" si="0"/>
        <v>0</v>
      </c>
      <c r="J5" s="69">
        <f t="shared" si="0"/>
        <v>130979</v>
      </c>
      <c r="K5" s="69">
        <f t="shared" si="0"/>
        <v>2222</v>
      </c>
      <c r="L5" s="69">
        <f t="shared" si="0"/>
        <v>0</v>
      </c>
      <c r="M5" s="70">
        <f t="shared" si="0"/>
        <v>163810</v>
      </c>
    </row>
    <row r="6" spans="1:13" ht="15">
      <c r="A6" s="5" t="s">
        <v>3</v>
      </c>
      <c r="B6" s="71">
        <v>4705</v>
      </c>
      <c r="C6" s="71"/>
      <c r="D6" s="71"/>
      <c r="E6" s="71">
        <f>500+25404</f>
        <v>25904</v>
      </c>
      <c r="F6" s="71"/>
      <c r="G6" s="71"/>
      <c r="H6" s="71"/>
      <c r="I6" s="71"/>
      <c r="J6" s="71">
        <f>156383-25404</f>
        <v>130979</v>
      </c>
      <c r="K6" s="71">
        <v>2222</v>
      </c>
      <c r="L6" s="132"/>
      <c r="M6" s="72">
        <f aca="true" t="shared" si="1" ref="M6:M48">SUM(B6:L6)</f>
        <v>163810</v>
      </c>
    </row>
    <row r="7" spans="1:13" ht="15">
      <c r="A7" s="5"/>
      <c r="B7" s="71"/>
      <c r="C7" s="71"/>
      <c r="D7" s="71"/>
      <c r="E7" s="71"/>
      <c r="F7" s="71"/>
      <c r="G7" s="71"/>
      <c r="H7" s="71"/>
      <c r="I7" s="71"/>
      <c r="J7" s="71"/>
      <c r="K7" s="71"/>
      <c r="L7" s="132"/>
      <c r="M7" s="72">
        <f t="shared" si="1"/>
        <v>0</v>
      </c>
    </row>
    <row r="8" spans="1:13" ht="15">
      <c r="A8" s="13" t="s">
        <v>131</v>
      </c>
      <c r="B8" s="69">
        <f>SUM(B9:B14)</f>
        <v>210109</v>
      </c>
      <c r="C8" s="69">
        <f>SUM(C9:C14)</f>
        <v>299077</v>
      </c>
      <c r="D8" s="69">
        <f>SUM(D9:D14)</f>
        <v>6968</v>
      </c>
      <c r="E8" s="69">
        <f>SUM(E9:E14)</f>
        <v>14868</v>
      </c>
      <c r="F8" s="69">
        <f aca="true" t="shared" si="2" ref="F8:L8">SUM(F9:F14)</f>
        <v>59375</v>
      </c>
      <c r="G8" s="69">
        <f t="shared" si="2"/>
        <v>94454</v>
      </c>
      <c r="H8" s="69">
        <f t="shared" si="2"/>
        <v>11122</v>
      </c>
      <c r="I8" s="69">
        <f>SUM(I9:I14)</f>
        <v>5912</v>
      </c>
      <c r="J8" s="69">
        <f t="shared" si="2"/>
        <v>0</v>
      </c>
      <c r="K8" s="69">
        <f t="shared" si="2"/>
        <v>0</v>
      </c>
      <c r="L8" s="69">
        <f t="shared" si="2"/>
        <v>5352</v>
      </c>
      <c r="M8" s="70">
        <f t="shared" si="1"/>
        <v>707237</v>
      </c>
    </row>
    <row r="9" spans="1:13" ht="15">
      <c r="A9" s="5" t="s">
        <v>135</v>
      </c>
      <c r="B9" s="73"/>
      <c r="C9" s="73"/>
      <c r="D9" s="73"/>
      <c r="E9" s="73"/>
      <c r="F9" s="145">
        <f>58589+786</f>
        <v>59375</v>
      </c>
      <c r="G9" s="145">
        <v>90948</v>
      </c>
      <c r="H9" s="73"/>
      <c r="I9" s="73"/>
      <c r="J9" s="73"/>
      <c r="K9" s="73"/>
      <c r="L9" s="133"/>
      <c r="M9" s="74">
        <f t="shared" si="1"/>
        <v>150323</v>
      </c>
    </row>
    <row r="10" spans="1:13" ht="15">
      <c r="A10" s="5" t="s">
        <v>136</v>
      </c>
      <c r="B10" s="71"/>
      <c r="C10" s="71"/>
      <c r="D10" s="71"/>
      <c r="E10" s="71"/>
      <c r="F10" s="71"/>
      <c r="G10" s="71"/>
      <c r="H10" s="71"/>
      <c r="I10" s="71">
        <v>5912</v>
      </c>
      <c r="J10" s="71"/>
      <c r="K10" s="71"/>
      <c r="L10" s="132"/>
      <c r="M10" s="72">
        <f t="shared" si="1"/>
        <v>5912</v>
      </c>
    </row>
    <row r="11" spans="1:13" ht="15">
      <c r="A11" s="5" t="s">
        <v>137</v>
      </c>
      <c r="B11" s="71">
        <v>210109</v>
      </c>
      <c r="C11" s="71">
        <f>299077</f>
        <v>299077</v>
      </c>
      <c r="D11" s="71">
        <v>6968</v>
      </c>
      <c r="E11" s="71">
        <f>10244+4624</f>
        <v>14868</v>
      </c>
      <c r="F11" s="71"/>
      <c r="G11" s="71">
        <v>3506</v>
      </c>
      <c r="H11" s="71">
        <v>11122</v>
      </c>
      <c r="I11" s="71"/>
      <c r="J11" s="71"/>
      <c r="K11" s="71"/>
      <c r="L11" s="132">
        <v>5352</v>
      </c>
      <c r="M11" s="72">
        <f t="shared" si="1"/>
        <v>551002</v>
      </c>
    </row>
    <row r="12" spans="1:13" ht="15">
      <c r="A12" s="5" t="s">
        <v>138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34"/>
      <c r="M12" s="128">
        <f t="shared" si="1"/>
        <v>0</v>
      </c>
    </row>
    <row r="13" spans="1:13" ht="15">
      <c r="A13" s="5" t="s">
        <v>139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32"/>
      <c r="M13" s="72">
        <f t="shared" si="1"/>
        <v>0</v>
      </c>
    </row>
    <row r="14" spans="1:13" ht="15">
      <c r="A14" s="5" t="s">
        <v>140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132"/>
      <c r="M14" s="72">
        <f t="shared" si="1"/>
        <v>0</v>
      </c>
    </row>
    <row r="15" spans="1:13" ht="15">
      <c r="A15" s="5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132"/>
      <c r="M15" s="72">
        <f t="shared" si="1"/>
        <v>0</v>
      </c>
    </row>
    <row r="16" spans="1:13" ht="15">
      <c r="A16" s="13" t="s">
        <v>132</v>
      </c>
      <c r="B16" s="69">
        <f aca="true" t="shared" si="3" ref="B16:L16">SUM(B17:B17)</f>
        <v>0</v>
      </c>
      <c r="C16" s="69">
        <f t="shared" si="3"/>
        <v>0</v>
      </c>
      <c r="D16" s="69">
        <f t="shared" si="3"/>
        <v>0</v>
      </c>
      <c r="E16" s="69">
        <f t="shared" si="3"/>
        <v>0</v>
      </c>
      <c r="F16" s="69">
        <f t="shared" si="3"/>
        <v>0</v>
      </c>
      <c r="G16" s="69">
        <f t="shared" si="3"/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  <c r="K16" s="69">
        <f t="shared" si="3"/>
        <v>0</v>
      </c>
      <c r="L16" s="69">
        <f t="shared" si="3"/>
        <v>0</v>
      </c>
      <c r="M16" s="70">
        <f t="shared" si="1"/>
        <v>0</v>
      </c>
    </row>
    <row r="17" spans="1:13" ht="15">
      <c r="A17" s="5" t="s">
        <v>148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>
        <f t="shared" si="1"/>
        <v>0</v>
      </c>
    </row>
    <row r="18" spans="1:13" ht="15">
      <c r="A18" s="5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>
        <f t="shared" si="1"/>
        <v>0</v>
      </c>
    </row>
    <row r="19" spans="1:13" ht="15">
      <c r="A19" s="13" t="s">
        <v>133</v>
      </c>
      <c r="B19" s="69">
        <f aca="true" t="shared" si="4" ref="B19:L19">SUM(B20:B20)</f>
        <v>0</v>
      </c>
      <c r="C19" s="69">
        <f t="shared" si="4"/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70">
        <f t="shared" si="1"/>
        <v>0</v>
      </c>
    </row>
    <row r="20" spans="1:13" ht="15">
      <c r="A20" s="5" t="s">
        <v>153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>
        <f t="shared" si="1"/>
        <v>0</v>
      </c>
    </row>
    <row r="21" spans="1:13" ht="15">
      <c r="A21" s="5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>
        <f t="shared" si="1"/>
        <v>0</v>
      </c>
    </row>
    <row r="22" spans="1:13" ht="15">
      <c r="A22" s="13" t="s">
        <v>134</v>
      </c>
      <c r="B22" s="69">
        <f aca="true" t="shared" si="5" ref="B22:L22">SUM(B23:B28)</f>
        <v>0</v>
      </c>
      <c r="C22" s="69">
        <f t="shared" si="5"/>
        <v>0</v>
      </c>
      <c r="D22" s="69">
        <f t="shared" si="5"/>
        <v>0</v>
      </c>
      <c r="E22" s="69">
        <f t="shared" si="5"/>
        <v>0</v>
      </c>
      <c r="F22" s="69">
        <f t="shared" si="5"/>
        <v>0</v>
      </c>
      <c r="G22" s="69">
        <f t="shared" si="5"/>
        <v>0</v>
      </c>
      <c r="H22" s="69">
        <f t="shared" si="5"/>
        <v>0</v>
      </c>
      <c r="I22" s="69">
        <f>SUM(I23:I28)</f>
        <v>0</v>
      </c>
      <c r="J22" s="69">
        <f t="shared" si="5"/>
        <v>0</v>
      </c>
      <c r="K22" s="69">
        <f t="shared" si="5"/>
        <v>0</v>
      </c>
      <c r="L22" s="69">
        <f t="shared" si="5"/>
        <v>0</v>
      </c>
      <c r="M22" s="70">
        <f t="shared" si="1"/>
        <v>0</v>
      </c>
    </row>
    <row r="23" spans="1:13" ht="15">
      <c r="A23" s="5" t="s">
        <v>141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>
        <f t="shared" si="1"/>
        <v>0</v>
      </c>
    </row>
    <row r="24" spans="1:13" ht="15">
      <c r="A24" s="5" t="s">
        <v>142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>
        <f t="shared" si="1"/>
        <v>0</v>
      </c>
    </row>
    <row r="25" spans="1:13" ht="15">
      <c r="A25" s="5" t="s">
        <v>143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>
        <f t="shared" si="1"/>
        <v>0</v>
      </c>
    </row>
    <row r="26" spans="1:13" ht="15">
      <c r="A26" s="5" t="s">
        <v>144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>
        <f t="shared" si="1"/>
        <v>0</v>
      </c>
    </row>
    <row r="27" spans="1:13" ht="15">
      <c r="A27" s="5" t="s">
        <v>145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2">
        <f t="shared" si="1"/>
        <v>0</v>
      </c>
    </row>
    <row r="28" spans="1:13" ht="15">
      <c r="A28" s="5" t="s">
        <v>146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2">
        <f t="shared" si="1"/>
        <v>0</v>
      </c>
    </row>
    <row r="29" spans="1:13" ht="15">
      <c r="A29" s="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>
        <f t="shared" si="1"/>
        <v>0</v>
      </c>
    </row>
    <row r="30" spans="1:13" ht="15">
      <c r="A30" s="13" t="s">
        <v>147</v>
      </c>
      <c r="B30" s="130">
        <f aca="true" t="shared" si="6" ref="B30:L30">SUM(B31:B32)</f>
        <v>0</v>
      </c>
      <c r="C30" s="130">
        <f t="shared" si="6"/>
        <v>0</v>
      </c>
      <c r="D30" s="130">
        <f t="shared" si="6"/>
        <v>0</v>
      </c>
      <c r="E30" s="130">
        <f t="shared" si="6"/>
        <v>0</v>
      </c>
      <c r="F30" s="130">
        <f t="shared" si="6"/>
        <v>0</v>
      </c>
      <c r="G30" s="130">
        <f t="shared" si="6"/>
        <v>0</v>
      </c>
      <c r="H30" s="130">
        <f t="shared" si="6"/>
        <v>0</v>
      </c>
      <c r="I30" s="130">
        <f>SUM(I31:I32)</f>
        <v>0</v>
      </c>
      <c r="J30" s="130">
        <f t="shared" si="6"/>
        <v>0</v>
      </c>
      <c r="K30" s="130">
        <f t="shared" si="6"/>
        <v>0</v>
      </c>
      <c r="L30" s="130">
        <f t="shared" si="6"/>
        <v>0</v>
      </c>
      <c r="M30" s="70">
        <f t="shared" si="1"/>
        <v>0</v>
      </c>
    </row>
    <row r="31" spans="1:13" ht="15">
      <c r="A31" s="5" t="s">
        <v>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>
        <f t="shared" si="1"/>
        <v>0</v>
      </c>
    </row>
    <row r="32" spans="1:13" ht="15">
      <c r="A32" s="5" t="s">
        <v>124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>
        <f t="shared" si="1"/>
        <v>0</v>
      </c>
    </row>
    <row r="33" spans="1:13" ht="15">
      <c r="A33" s="5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>
        <f t="shared" si="1"/>
        <v>0</v>
      </c>
    </row>
    <row r="34" spans="1:13" ht="15">
      <c r="A34" s="13" t="s">
        <v>149</v>
      </c>
      <c r="B34" s="130">
        <f>B35</f>
        <v>0</v>
      </c>
      <c r="C34" s="130">
        <f>C35</f>
        <v>0</v>
      </c>
      <c r="D34" s="130">
        <f>D35</f>
        <v>0</v>
      </c>
      <c r="E34" s="130">
        <f>E35</f>
        <v>0</v>
      </c>
      <c r="F34" s="130">
        <f aca="true" t="shared" si="7" ref="F34:L34">F35</f>
        <v>0</v>
      </c>
      <c r="G34" s="130">
        <f t="shared" si="7"/>
        <v>0</v>
      </c>
      <c r="H34" s="130">
        <f t="shared" si="7"/>
        <v>0</v>
      </c>
      <c r="I34" s="130">
        <f t="shared" si="7"/>
        <v>0</v>
      </c>
      <c r="J34" s="130">
        <f t="shared" si="7"/>
        <v>0</v>
      </c>
      <c r="K34" s="130">
        <f t="shared" si="7"/>
        <v>0</v>
      </c>
      <c r="L34" s="130">
        <f t="shared" si="7"/>
        <v>0</v>
      </c>
      <c r="M34" s="70">
        <f t="shared" si="1"/>
        <v>0</v>
      </c>
    </row>
    <row r="35" spans="1:13" ht="15">
      <c r="A35" s="5" t="s">
        <v>150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>
        <f t="shared" si="1"/>
        <v>0</v>
      </c>
    </row>
    <row r="36" spans="1:13" ht="15">
      <c r="A36" s="5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>
        <f t="shared" si="1"/>
        <v>0</v>
      </c>
    </row>
    <row r="37" spans="1:13" ht="15">
      <c r="A37" s="15" t="s">
        <v>151</v>
      </c>
      <c r="B37" s="75">
        <f aca="true" t="shared" si="8" ref="B37:L37">B5+B8+B16+B19+B22+B30+B34</f>
        <v>214814</v>
      </c>
      <c r="C37" s="75">
        <f t="shared" si="8"/>
        <v>299077</v>
      </c>
      <c r="D37" s="75">
        <f t="shared" si="8"/>
        <v>6968</v>
      </c>
      <c r="E37" s="75">
        <f t="shared" si="8"/>
        <v>40772</v>
      </c>
      <c r="F37" s="75">
        <f t="shared" si="8"/>
        <v>59375</v>
      </c>
      <c r="G37" s="75">
        <f t="shared" si="8"/>
        <v>94454</v>
      </c>
      <c r="H37" s="75">
        <f t="shared" si="8"/>
        <v>11122</v>
      </c>
      <c r="I37" s="75">
        <f>I5+I8+I16+I19+I22+I30+I34</f>
        <v>5912</v>
      </c>
      <c r="J37" s="75">
        <f t="shared" si="8"/>
        <v>130979</v>
      </c>
      <c r="K37" s="75">
        <f t="shared" si="8"/>
        <v>2222</v>
      </c>
      <c r="L37" s="75">
        <f t="shared" si="8"/>
        <v>5352</v>
      </c>
      <c r="M37" s="76">
        <f t="shared" si="1"/>
        <v>871047</v>
      </c>
    </row>
    <row r="38" spans="1:13" ht="15">
      <c r="A38" s="5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>
        <f t="shared" si="1"/>
        <v>0</v>
      </c>
    </row>
    <row r="39" spans="1:13" ht="15">
      <c r="A39" s="15" t="s">
        <v>152</v>
      </c>
      <c r="B39" s="75">
        <f aca="true" t="shared" si="9" ref="B39:L39">B40+B43</f>
        <v>0</v>
      </c>
      <c r="C39" s="75">
        <f t="shared" si="9"/>
        <v>0</v>
      </c>
      <c r="D39" s="75">
        <f t="shared" si="9"/>
        <v>0</v>
      </c>
      <c r="E39" s="75">
        <f t="shared" si="9"/>
        <v>10489</v>
      </c>
      <c r="F39" s="75">
        <f t="shared" si="9"/>
        <v>2705</v>
      </c>
      <c r="G39" s="75">
        <f t="shared" si="9"/>
        <v>0</v>
      </c>
      <c r="H39" s="75">
        <f t="shared" si="9"/>
        <v>0</v>
      </c>
      <c r="I39" s="75">
        <f>I40+I43</f>
        <v>0</v>
      </c>
      <c r="J39" s="75">
        <f t="shared" si="9"/>
        <v>0</v>
      </c>
      <c r="K39" s="75">
        <f t="shared" si="9"/>
        <v>0</v>
      </c>
      <c r="L39" s="75">
        <f t="shared" si="9"/>
        <v>0</v>
      </c>
      <c r="M39" s="76">
        <f t="shared" si="1"/>
        <v>13194</v>
      </c>
    </row>
    <row r="40" spans="1:13" ht="15">
      <c r="A40" s="8" t="s">
        <v>6</v>
      </c>
      <c r="B40" s="77">
        <f>SUM(B41:B42)</f>
        <v>0</v>
      </c>
      <c r="C40" s="77">
        <f>SUM(C41:C42)</f>
        <v>0</v>
      </c>
      <c r="D40" s="77">
        <f>SUM(D41:D42)</f>
        <v>0</v>
      </c>
      <c r="E40" s="77">
        <f>SUM(E41:E42)</f>
        <v>10489</v>
      </c>
      <c r="F40" s="77">
        <f aca="true" t="shared" si="10" ref="F40:L40">SUM(F41:F42)</f>
        <v>2705</v>
      </c>
      <c r="G40" s="77">
        <f t="shared" si="10"/>
        <v>0</v>
      </c>
      <c r="H40" s="73">
        <f t="shared" si="10"/>
        <v>0</v>
      </c>
      <c r="I40" s="73">
        <f>SUM(I41:I42)</f>
        <v>0</v>
      </c>
      <c r="J40" s="73">
        <f>SUM(J41:J42)</f>
        <v>0</v>
      </c>
      <c r="K40" s="73">
        <f t="shared" si="10"/>
        <v>0</v>
      </c>
      <c r="L40" s="73">
        <f t="shared" si="10"/>
        <v>0</v>
      </c>
      <c r="M40" s="74">
        <f t="shared" si="1"/>
        <v>13194</v>
      </c>
    </row>
    <row r="41" spans="1:13" ht="15">
      <c r="A41" s="5" t="s">
        <v>7</v>
      </c>
      <c r="B41" s="71"/>
      <c r="C41" s="71"/>
      <c r="D41" s="71"/>
      <c r="E41" s="127">
        <v>10489</v>
      </c>
      <c r="F41" s="127">
        <v>2705</v>
      </c>
      <c r="G41" s="71"/>
      <c r="H41" s="71"/>
      <c r="I41" s="71"/>
      <c r="J41" s="71"/>
      <c r="K41" s="71"/>
      <c r="L41" s="132"/>
      <c r="M41" s="72">
        <f t="shared" si="1"/>
        <v>13194</v>
      </c>
    </row>
    <row r="42" spans="1:13" ht="15">
      <c r="A42" s="5" t="s">
        <v>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132"/>
      <c r="M42" s="72">
        <f t="shared" si="1"/>
        <v>0</v>
      </c>
    </row>
    <row r="43" spans="1:13" ht="15">
      <c r="A43" s="8" t="s">
        <v>9</v>
      </c>
      <c r="B43" s="73">
        <f>SUM(B44:B45)</f>
        <v>0</v>
      </c>
      <c r="C43" s="73">
        <f>SUM(C44:C45)</f>
        <v>0</v>
      </c>
      <c r="D43" s="73">
        <f>SUM(D44:D45)</f>
        <v>0</v>
      </c>
      <c r="E43" s="73">
        <f>SUM(E44:E45)</f>
        <v>0</v>
      </c>
      <c r="F43" s="73">
        <f aca="true" t="shared" si="11" ref="F43:L43">SUM(F44:F45)</f>
        <v>0</v>
      </c>
      <c r="G43" s="73">
        <f t="shared" si="11"/>
        <v>0</v>
      </c>
      <c r="H43" s="73">
        <f t="shared" si="11"/>
        <v>0</v>
      </c>
      <c r="I43" s="73">
        <f>SUM(I44:I45)</f>
        <v>0</v>
      </c>
      <c r="J43" s="73">
        <f>SUM(J44:J45)</f>
        <v>0</v>
      </c>
      <c r="K43" s="73">
        <f t="shared" si="11"/>
        <v>0</v>
      </c>
      <c r="L43" s="73">
        <f t="shared" si="11"/>
        <v>0</v>
      </c>
      <c r="M43" s="74">
        <f t="shared" si="1"/>
        <v>0</v>
      </c>
    </row>
    <row r="44" spans="1:13" ht="15">
      <c r="A44" s="5" t="s">
        <v>10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132"/>
      <c r="M44" s="72">
        <f t="shared" si="1"/>
        <v>0</v>
      </c>
    </row>
    <row r="45" spans="1:13" ht="15">
      <c r="A45" s="5" t="s">
        <v>11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132"/>
      <c r="M45" s="72">
        <f t="shared" si="1"/>
        <v>0</v>
      </c>
    </row>
    <row r="46" spans="1:13" ht="15">
      <c r="A46" s="157" t="s">
        <v>188</v>
      </c>
      <c r="B46" s="75">
        <f>B47+B48</f>
        <v>0</v>
      </c>
      <c r="C46" s="75">
        <f aca="true" t="shared" si="12" ref="C46:L46">C47+C48</f>
        <v>0</v>
      </c>
      <c r="D46" s="75">
        <f t="shared" si="12"/>
        <v>0</v>
      </c>
      <c r="E46" s="75">
        <f t="shared" si="12"/>
        <v>0</v>
      </c>
      <c r="F46" s="75">
        <f t="shared" si="12"/>
        <v>0</v>
      </c>
      <c r="G46" s="75">
        <f t="shared" si="12"/>
        <v>0</v>
      </c>
      <c r="H46" s="75">
        <f t="shared" si="12"/>
        <v>0</v>
      </c>
      <c r="I46" s="75">
        <f>I47+I48</f>
        <v>0</v>
      </c>
      <c r="J46" s="75">
        <f t="shared" si="12"/>
        <v>122196</v>
      </c>
      <c r="K46" s="75">
        <f t="shared" si="12"/>
        <v>0</v>
      </c>
      <c r="L46" s="75">
        <f t="shared" si="12"/>
        <v>0</v>
      </c>
      <c r="M46" s="76">
        <f t="shared" si="1"/>
        <v>122196</v>
      </c>
    </row>
    <row r="47" spans="1:13" ht="15">
      <c r="A47" s="8" t="s">
        <v>189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132"/>
      <c r="M47" s="72">
        <f t="shared" si="1"/>
        <v>0</v>
      </c>
    </row>
    <row r="48" spans="1:13" ht="15">
      <c r="A48" s="8" t="s">
        <v>190</v>
      </c>
      <c r="B48" s="71"/>
      <c r="C48" s="71"/>
      <c r="D48" s="71"/>
      <c r="E48" s="71"/>
      <c r="F48" s="71"/>
      <c r="G48" s="71"/>
      <c r="H48" s="71"/>
      <c r="I48" s="71"/>
      <c r="J48" s="71">
        <v>122196</v>
      </c>
      <c r="K48" s="71"/>
      <c r="L48" s="132"/>
      <c r="M48" s="72">
        <f t="shared" si="1"/>
        <v>122196</v>
      </c>
    </row>
    <row r="49" spans="1:13" ht="15">
      <c r="A49" s="48" t="s">
        <v>12</v>
      </c>
      <c r="B49" s="78">
        <f>B37+B39+B46</f>
        <v>214814</v>
      </c>
      <c r="C49" s="78">
        <f aca="true" t="shared" si="13" ref="C49:L49">C37+C39+C46</f>
        <v>299077</v>
      </c>
      <c r="D49" s="78">
        <f t="shared" si="13"/>
        <v>6968</v>
      </c>
      <c r="E49" s="78">
        <f t="shared" si="13"/>
        <v>51261</v>
      </c>
      <c r="F49" s="78">
        <f t="shared" si="13"/>
        <v>62080</v>
      </c>
      <c r="G49" s="78">
        <f t="shared" si="13"/>
        <v>94454</v>
      </c>
      <c r="H49" s="78">
        <f t="shared" si="13"/>
        <v>11122</v>
      </c>
      <c r="I49" s="78">
        <f>I37+I39+I46</f>
        <v>5912</v>
      </c>
      <c r="J49" s="78">
        <f t="shared" si="13"/>
        <v>253175</v>
      </c>
      <c r="K49" s="78">
        <f t="shared" si="13"/>
        <v>2222</v>
      </c>
      <c r="L49" s="78">
        <f t="shared" si="13"/>
        <v>5352</v>
      </c>
      <c r="M49" s="79">
        <f>M37+M39+M46</f>
        <v>1006437</v>
      </c>
    </row>
    <row r="50" spans="1:13" ht="15">
      <c r="A50" s="64" t="s">
        <v>27</v>
      </c>
      <c r="B50" s="69">
        <f>SUM(B51:B56)</f>
        <v>209687</v>
      </c>
      <c r="C50" s="69">
        <f aca="true" t="shared" si="14" ref="C50:L50">SUM(C51:C56)</f>
        <v>288817</v>
      </c>
      <c r="D50" s="69">
        <f>SUM(D51:D56)</f>
        <v>6855</v>
      </c>
      <c r="E50" s="69">
        <f t="shared" si="14"/>
        <v>28676</v>
      </c>
      <c r="F50" s="69">
        <f t="shared" si="14"/>
        <v>61318</v>
      </c>
      <c r="G50" s="69">
        <f t="shared" si="14"/>
        <v>84494</v>
      </c>
      <c r="H50" s="69">
        <f t="shared" si="14"/>
        <v>8897</v>
      </c>
      <c r="I50" s="69">
        <f>SUM(I51:I56)</f>
        <v>5912</v>
      </c>
      <c r="J50" s="69">
        <f t="shared" si="14"/>
        <v>8783</v>
      </c>
      <c r="K50" s="69">
        <f t="shared" si="14"/>
        <v>472</v>
      </c>
      <c r="L50" s="69">
        <f t="shared" si="14"/>
        <v>4723</v>
      </c>
      <c r="M50" s="70">
        <f aca="true" t="shared" si="15" ref="M50:M64">SUM(B50:L50)</f>
        <v>708634</v>
      </c>
    </row>
    <row r="51" spans="1:13" ht="15">
      <c r="A51" s="40" t="s">
        <v>17</v>
      </c>
      <c r="B51" s="71"/>
      <c r="C51" s="71"/>
      <c r="D51" s="71"/>
      <c r="E51" s="71"/>
      <c r="F51" s="71">
        <f>47601+693</f>
        <v>48294</v>
      </c>
      <c r="G51" s="71">
        <v>67719</v>
      </c>
      <c r="H51" s="71"/>
      <c r="I51" s="71"/>
      <c r="J51" s="71"/>
      <c r="K51" s="71"/>
      <c r="L51" s="132"/>
      <c r="M51" s="72">
        <f t="shared" si="15"/>
        <v>116013</v>
      </c>
    </row>
    <row r="52" spans="1:13" ht="15">
      <c r="A52" s="40" t="s">
        <v>18</v>
      </c>
      <c r="B52" s="71"/>
      <c r="C52" s="71"/>
      <c r="D52" s="71"/>
      <c r="E52" s="71"/>
      <c r="F52" s="71">
        <f>6714+93</f>
        <v>6807</v>
      </c>
      <c r="G52" s="71">
        <v>9141</v>
      </c>
      <c r="H52" s="71"/>
      <c r="I52" s="71"/>
      <c r="J52" s="71"/>
      <c r="K52" s="71"/>
      <c r="L52" s="132"/>
      <c r="M52" s="72">
        <f t="shared" si="15"/>
        <v>15948</v>
      </c>
    </row>
    <row r="53" spans="1:13" ht="15">
      <c r="A53" s="40" t="s">
        <v>19</v>
      </c>
      <c r="B53" s="71"/>
      <c r="C53" s="71"/>
      <c r="D53" s="71">
        <v>6855</v>
      </c>
      <c r="E53" s="71">
        <f>3350+500+1524</f>
        <v>5374</v>
      </c>
      <c r="F53" s="71">
        <v>6217</v>
      </c>
      <c r="G53" s="71">
        <v>7634</v>
      </c>
      <c r="H53" s="71"/>
      <c r="I53" s="71"/>
      <c r="J53" s="71">
        <v>8783</v>
      </c>
      <c r="K53" s="71">
        <v>472</v>
      </c>
      <c r="L53" s="132"/>
      <c r="M53" s="72">
        <f t="shared" si="15"/>
        <v>35335</v>
      </c>
    </row>
    <row r="54" spans="1:16" ht="15">
      <c r="A54" s="56" t="s">
        <v>120</v>
      </c>
      <c r="B54" s="127"/>
      <c r="C54" s="127"/>
      <c r="D54" s="127"/>
      <c r="E54" s="127">
        <f>613+2831+3379+10572+4757</f>
        <v>22152</v>
      </c>
      <c r="F54" s="127"/>
      <c r="G54" s="127"/>
      <c r="H54" s="127">
        <f>8897</f>
        <v>8897</v>
      </c>
      <c r="I54" s="127"/>
      <c r="J54" s="127"/>
      <c r="K54" s="127"/>
      <c r="L54" s="134">
        <f>4723</f>
        <v>4723</v>
      </c>
      <c r="M54" s="128">
        <f t="shared" si="15"/>
        <v>35772</v>
      </c>
      <c r="O54" s="1"/>
      <c r="P54" s="1"/>
    </row>
    <row r="55" spans="1:13" ht="15">
      <c r="A55" s="40" t="s">
        <v>121</v>
      </c>
      <c r="B55" s="71"/>
      <c r="C55" s="71"/>
      <c r="D55" s="71"/>
      <c r="E55" s="71">
        <v>1150</v>
      </c>
      <c r="F55" s="71"/>
      <c r="G55" s="71"/>
      <c r="H55" s="71"/>
      <c r="I55" s="71">
        <v>5912</v>
      </c>
      <c r="J55" s="71"/>
      <c r="K55" s="71"/>
      <c r="L55" s="132"/>
      <c r="M55" s="72">
        <f t="shared" si="15"/>
        <v>7062</v>
      </c>
    </row>
    <row r="56" spans="1:15" ht="15">
      <c r="A56" s="40" t="s">
        <v>182</v>
      </c>
      <c r="B56" s="71">
        <v>209687</v>
      </c>
      <c r="C56" s="71">
        <v>288817</v>
      </c>
      <c r="D56" s="71"/>
      <c r="E56" s="71"/>
      <c r="F56" s="71"/>
      <c r="G56" s="71"/>
      <c r="H56" s="71"/>
      <c r="I56" s="71"/>
      <c r="J56" s="71"/>
      <c r="K56" s="71"/>
      <c r="L56" s="132"/>
      <c r="M56" s="72">
        <f t="shared" si="15"/>
        <v>498504</v>
      </c>
      <c r="O56" s="1"/>
    </row>
    <row r="57" spans="1:13" ht="15">
      <c r="A57" s="64" t="s">
        <v>32</v>
      </c>
      <c r="B57" s="69">
        <f aca="true" t="shared" si="16" ref="B57:L57">SUM(B58:B61)</f>
        <v>0</v>
      </c>
      <c r="C57" s="69">
        <f>SUM(C58:C61)</f>
        <v>0</v>
      </c>
      <c r="D57" s="69">
        <f>SUM(D58:D61)</f>
        <v>0</v>
      </c>
      <c r="E57" s="69">
        <f>SUM(E58:E61)</f>
        <v>0</v>
      </c>
      <c r="F57" s="69">
        <f t="shared" si="16"/>
        <v>762</v>
      </c>
      <c r="G57" s="69">
        <f t="shared" si="16"/>
        <v>9960</v>
      </c>
      <c r="H57" s="69">
        <f t="shared" si="16"/>
        <v>0</v>
      </c>
      <c r="I57" s="69">
        <f>SUM(I58:I61)</f>
        <v>0</v>
      </c>
      <c r="J57" s="69">
        <f t="shared" si="16"/>
        <v>122196</v>
      </c>
      <c r="K57" s="69">
        <f t="shared" si="16"/>
        <v>0</v>
      </c>
      <c r="L57" s="69">
        <f t="shared" si="16"/>
        <v>0</v>
      </c>
      <c r="M57" s="70">
        <f t="shared" si="15"/>
        <v>132918</v>
      </c>
    </row>
    <row r="58" spans="1:13" ht="15">
      <c r="A58" s="18" t="s">
        <v>113</v>
      </c>
      <c r="B58" s="71"/>
      <c r="C58" s="71"/>
      <c r="D58" s="71"/>
      <c r="E58" s="71"/>
      <c r="F58" s="71">
        <v>762</v>
      </c>
      <c r="G58" s="71">
        <v>9960</v>
      </c>
      <c r="H58" s="71"/>
      <c r="I58" s="71"/>
      <c r="J58" s="71"/>
      <c r="K58" s="71"/>
      <c r="L58" s="132"/>
      <c r="M58" s="72">
        <f t="shared" si="15"/>
        <v>10722</v>
      </c>
    </row>
    <row r="59" spans="1:13" ht="15">
      <c r="A59" s="18" t="s">
        <v>116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132"/>
      <c r="M59" s="72">
        <f t="shared" si="15"/>
        <v>0</v>
      </c>
    </row>
    <row r="60" spans="1:13" ht="15">
      <c r="A60" s="19" t="s">
        <v>128</v>
      </c>
      <c r="B60" s="71"/>
      <c r="C60" s="71"/>
      <c r="D60" s="71"/>
      <c r="E60" s="71"/>
      <c r="F60" s="71"/>
      <c r="G60" s="71"/>
      <c r="H60" s="71"/>
      <c r="I60" s="71"/>
      <c r="J60" s="71">
        <v>122196</v>
      </c>
      <c r="K60" s="71"/>
      <c r="L60" s="132"/>
      <c r="M60" s="72">
        <f t="shared" si="15"/>
        <v>122196</v>
      </c>
    </row>
    <row r="61" spans="1:13" ht="15">
      <c r="A61" s="19" t="s">
        <v>129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133"/>
      <c r="M61" s="74">
        <f t="shared" si="15"/>
        <v>0</v>
      </c>
    </row>
    <row r="62" spans="1:16" ht="15">
      <c r="A62" s="20" t="s">
        <v>118</v>
      </c>
      <c r="B62" s="69">
        <v>5127</v>
      </c>
      <c r="C62" s="69">
        <v>10260</v>
      </c>
      <c r="D62" s="69">
        <v>113</v>
      </c>
      <c r="E62" s="69">
        <f>25404-10818</f>
        <v>14586</v>
      </c>
      <c r="F62" s="69"/>
      <c r="G62" s="69"/>
      <c r="H62" s="69">
        <v>2225</v>
      </c>
      <c r="I62" s="69"/>
      <c r="J62" s="69"/>
      <c r="K62" s="69"/>
      <c r="L62" s="131">
        <v>629</v>
      </c>
      <c r="M62" s="70">
        <f t="shared" si="15"/>
        <v>32940</v>
      </c>
      <c r="P62" s="1"/>
    </row>
    <row r="63" spans="1:13" ht="15">
      <c r="A63" s="20" t="s">
        <v>119</v>
      </c>
      <c r="B63" s="69"/>
      <c r="C63" s="69"/>
      <c r="D63" s="69"/>
      <c r="E63" s="69">
        <v>7999</v>
      </c>
      <c r="F63" s="69"/>
      <c r="G63" s="69"/>
      <c r="H63" s="69"/>
      <c r="I63" s="69"/>
      <c r="J63" s="69"/>
      <c r="K63" s="69">
        <v>1750</v>
      </c>
      <c r="L63" s="131"/>
      <c r="M63" s="70">
        <f t="shared" si="15"/>
        <v>9749</v>
      </c>
    </row>
    <row r="64" spans="1:13" ht="15">
      <c r="A64" s="159" t="s">
        <v>191</v>
      </c>
      <c r="B64" s="69">
        <f>B65</f>
        <v>0</v>
      </c>
      <c r="C64" s="69">
        <f aca="true" t="shared" si="17" ref="C64:L64">C65</f>
        <v>0</v>
      </c>
      <c r="D64" s="69">
        <f t="shared" si="17"/>
        <v>0</v>
      </c>
      <c r="E64" s="69">
        <f t="shared" si="17"/>
        <v>0</v>
      </c>
      <c r="F64" s="69">
        <f t="shared" si="17"/>
        <v>0</v>
      </c>
      <c r="G64" s="69">
        <f t="shared" si="17"/>
        <v>0</v>
      </c>
      <c r="H64" s="69">
        <f t="shared" si="17"/>
        <v>0</v>
      </c>
      <c r="I64" s="69">
        <f t="shared" si="17"/>
        <v>0</v>
      </c>
      <c r="J64" s="69">
        <f t="shared" si="17"/>
        <v>122196</v>
      </c>
      <c r="K64" s="69">
        <f t="shared" si="17"/>
        <v>0</v>
      </c>
      <c r="L64" s="69">
        <f t="shared" si="17"/>
        <v>0</v>
      </c>
      <c r="M64" s="70">
        <f t="shared" si="15"/>
        <v>122196</v>
      </c>
    </row>
    <row r="65" spans="1:13" s="142" customFormat="1" ht="25.5">
      <c r="A65" s="166" t="s">
        <v>192</v>
      </c>
      <c r="B65" s="170"/>
      <c r="C65" s="170"/>
      <c r="D65" s="170"/>
      <c r="E65" s="170"/>
      <c r="F65" s="170"/>
      <c r="G65" s="170"/>
      <c r="H65" s="170"/>
      <c r="I65" s="170"/>
      <c r="J65" s="170">
        <v>122196</v>
      </c>
      <c r="K65" s="170"/>
      <c r="L65" s="171"/>
      <c r="M65" s="128"/>
    </row>
    <row r="66" spans="1:13" ht="15">
      <c r="A66" s="80" t="s">
        <v>96</v>
      </c>
      <c r="B66" s="78">
        <f aca="true" t="shared" si="18" ref="B66:H66">B63+B62+B57+B50+B64</f>
        <v>214814</v>
      </c>
      <c r="C66" s="78">
        <f t="shared" si="18"/>
        <v>299077</v>
      </c>
      <c r="D66" s="78">
        <f t="shared" si="18"/>
        <v>6968</v>
      </c>
      <c r="E66" s="78">
        <f t="shared" si="18"/>
        <v>51261</v>
      </c>
      <c r="F66" s="78">
        <f t="shared" si="18"/>
        <v>62080</v>
      </c>
      <c r="G66" s="78">
        <f t="shared" si="18"/>
        <v>94454</v>
      </c>
      <c r="H66" s="78">
        <f t="shared" si="18"/>
        <v>11122</v>
      </c>
      <c r="I66" s="78">
        <f>I63+I62+I57+I50+I64</f>
        <v>5912</v>
      </c>
      <c r="J66" s="78">
        <f>J63+J62+J57+J50+J64</f>
        <v>253175</v>
      </c>
      <c r="K66" s="78">
        <f>K63+K62+K57+K50+K64</f>
        <v>2222</v>
      </c>
      <c r="L66" s="78">
        <f>L63+L62+L57+L50+L64</f>
        <v>5352</v>
      </c>
      <c r="M66" s="79">
        <f>SUM(B66:L66)</f>
        <v>1006437</v>
      </c>
    </row>
    <row r="67" spans="1:13" ht="15">
      <c r="A67" s="68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132"/>
      <c r="M67" s="72">
        <f>SUM(B67:L67)</f>
        <v>0</v>
      </c>
    </row>
    <row r="68" spans="1:13" ht="15.75" thickBot="1">
      <c r="A68" s="81" t="s">
        <v>97</v>
      </c>
      <c r="B68" s="82">
        <f aca="true" t="shared" si="19" ref="B68:L68">B49-B66</f>
        <v>0</v>
      </c>
      <c r="C68" s="82">
        <f t="shared" si="19"/>
        <v>0</v>
      </c>
      <c r="D68" s="82">
        <f t="shared" si="19"/>
        <v>0</v>
      </c>
      <c r="E68" s="82">
        <f t="shared" si="19"/>
        <v>0</v>
      </c>
      <c r="F68" s="82">
        <f t="shared" si="19"/>
        <v>0</v>
      </c>
      <c r="G68" s="82">
        <f t="shared" si="19"/>
        <v>0</v>
      </c>
      <c r="H68" s="82">
        <f t="shared" si="19"/>
        <v>0</v>
      </c>
      <c r="I68" s="82">
        <f>I49-I66</f>
        <v>0</v>
      </c>
      <c r="J68" s="82">
        <f t="shared" si="19"/>
        <v>0</v>
      </c>
      <c r="K68" s="82">
        <f t="shared" si="19"/>
        <v>0</v>
      </c>
      <c r="L68" s="82">
        <f t="shared" si="19"/>
        <v>0</v>
      </c>
      <c r="M68" s="83">
        <f>SUM(B68:L68)</f>
        <v>0</v>
      </c>
    </row>
    <row r="70" ht="15">
      <c r="J70" s="1"/>
    </row>
  </sheetData>
  <sheetProtection/>
  <mergeCells count="14">
    <mergeCell ref="H3:H4"/>
    <mergeCell ref="I3:I4"/>
    <mergeCell ref="A3:A4"/>
    <mergeCell ref="D3:D4"/>
    <mergeCell ref="L3:L4"/>
    <mergeCell ref="B2:J2"/>
    <mergeCell ref="M2:M4"/>
    <mergeCell ref="K3:K4"/>
    <mergeCell ref="B3:B4"/>
    <mergeCell ref="F3:F4"/>
    <mergeCell ref="G3:G4"/>
    <mergeCell ref="E3:E4"/>
    <mergeCell ref="J3:J4"/>
    <mergeCell ref="C3:C4"/>
  </mergeCells>
  <printOptions/>
  <pageMargins left="0.7" right="0.7" top="0.75" bottom="0.75" header="0.3" footer="0.3"/>
  <pageSetup horizontalDpi="600" verticalDpi="600" orientation="landscape" paperSize="9" scale="48" r:id="rId2"/>
  <headerFooter>
    <oddHeader>&amp;L&amp;G&amp;C.../2016 (X.26.) számú határozat
a Marcali Kistérségi Többcélú Társulás
2016. évi költségvetésének módosításáról</oddHeader>
    <oddFooter>&amp;C&amp;P</oddFooter>
  </headerFooter>
  <rowBreaks count="1" manualBreakCount="1">
    <brk id="4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2015-01-27T10:07:07Z</cp:lastPrinted>
  <dcterms:created xsi:type="dcterms:W3CDTF">2010-02-04T18:23:25Z</dcterms:created>
  <dcterms:modified xsi:type="dcterms:W3CDTF">2016-10-24T10:43:22Z</dcterms:modified>
  <cp:category/>
  <cp:version/>
  <cp:contentType/>
  <cp:contentStatus/>
</cp:coreProperties>
</file>