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75" windowWidth="19155" windowHeight="7455" activeTab="0"/>
  </bookViews>
  <sheets>
    <sheet name="1.sz.Bevételi források" sheetId="1" r:id="rId1"/>
    <sheet name="2.szKiadás kiemelt jogcímenként" sheetId="2" r:id="rId2"/>
    <sheet name="3a sz.Működési mérleg" sheetId="3" r:id="rId3"/>
    <sheet name="3b sz.Felhalmozási mérleg" sheetId="4" r:id="rId4"/>
    <sheet name="4.sz.beruházási kiadások" sheetId="5" r:id="rId5"/>
    <sheet name="5.sz. Fizetendő hozzájárulás" sheetId="6" r:id="rId6"/>
    <sheet name="6. sz. Likviditási terv" sheetId="7" r:id="rId7"/>
    <sheet name="7.sz. Társulás ktgv. feladaton" sheetId="8" r:id="rId8"/>
    <sheet name="8. Intézményi költségvetések" sheetId="9" r:id="rId9"/>
    <sheet name="9.Létszám e. i." sheetId="10" r:id="rId10"/>
    <sheet name="10.EU által támogatott projekt " sheetId="11" r:id="rId11"/>
  </sheets>
  <externalReferences>
    <externalReference r:id="rId14"/>
    <externalReference r:id="rId15"/>
    <externalReference r:id="rId16"/>
  </externalReferences>
  <definedNames>
    <definedName name="gg">'[1]kod'!$BT$34:$BT$3184</definedName>
    <definedName name="kk">'[1]kod'!$BT$34:$BT$3184</definedName>
    <definedName name="_xlnm.Print_Area" localSheetId="0">'1.sz.Bevételi források'!$A$1:$I$50</definedName>
    <definedName name="_xlnm.Print_Area" localSheetId="6">'6. sz. Likviditási terv'!$A$1:$N$59</definedName>
    <definedName name="onev">'[2]kod'!$BT$34:$BT$3184</definedName>
  </definedNames>
  <calcPr fullCalcOnLoad="1"/>
</workbook>
</file>

<file path=xl/sharedStrings.xml><?xml version="1.0" encoding="utf-8"?>
<sst xmlns="http://schemas.openxmlformats.org/spreadsheetml/2006/main" count="579" uniqueCount="269">
  <si>
    <t>Összesen</t>
  </si>
  <si>
    <t>I. Működési bevételek:</t>
  </si>
  <si>
    <t xml:space="preserve">       1. Intézményi működési bevételek </t>
  </si>
  <si>
    <r>
      <t xml:space="preserve">         1. Tárgyi eszközök, immateriális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javak értékesítése </t>
    </r>
  </si>
  <si>
    <t xml:space="preserve">VII. Költségvetési hiány belső finanszírozására szolgáló pénzforgalom nélküli bevételek: </t>
  </si>
  <si>
    <t xml:space="preserve">         1. Előző évek előirányzat-maradványának, pénzmaradványának igénybevétele</t>
  </si>
  <si>
    <t xml:space="preserve">             1.1. Működési célra</t>
  </si>
  <si>
    <t xml:space="preserve">             1.2. Felhalmozási célra</t>
  </si>
  <si>
    <t xml:space="preserve">         2. Előző évek vállalkozási maradvány igénybevétele </t>
  </si>
  <si>
    <t xml:space="preserve">             2.1. Működési célra</t>
  </si>
  <si>
    <t xml:space="preserve">             2.2. Felhalmozási célra</t>
  </si>
  <si>
    <t>Bevételek mindösszesen:</t>
  </si>
  <si>
    <t>Összesen:</t>
  </si>
  <si>
    <t xml:space="preserve">       1.1. Személyi juttatások</t>
  </si>
  <si>
    <t xml:space="preserve">       1.2. Munkaadókat terhelő járulék</t>
  </si>
  <si>
    <t xml:space="preserve">       1.3. Dologi kiadások</t>
  </si>
  <si>
    <t>e Ft</t>
  </si>
  <si>
    <t>Működési bevételek összesen:</t>
  </si>
  <si>
    <t>1. Működési jellegű kiadások</t>
  </si>
  <si>
    <t>Működési kiadások összesen:</t>
  </si>
  <si>
    <t>Működési költségvetés többlete:</t>
  </si>
  <si>
    <t>Működési költségvetés hiánya:</t>
  </si>
  <si>
    <t>Felhalmozási bevételek összesen:</t>
  </si>
  <si>
    <t>2. Felhalmozási kiadások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</si>
  <si>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</si>
  <si>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</si>
  <si>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</si>
  <si>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</si>
  <si>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</si>
  <si>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</si>
  <si>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</si>
  <si>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</si>
  <si>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</si>
  <si>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</si>
  <si>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</si>
  <si>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</si>
  <si>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 összesen:</t>
  </si>
  <si>
    <t>Kiadási előirányzat összesen:</t>
  </si>
  <si>
    <t>Bevételi források kiemelt előirányzatonként</t>
  </si>
  <si>
    <t>Kiadások kiemelt előirányzatonként</t>
  </si>
  <si>
    <t>1. Működési kiadások</t>
  </si>
  <si>
    <t>2. sz. melléklet: Kiadások kiemelt előirányzatonként</t>
  </si>
  <si>
    <t>1. sz. melléklet: Bevételi források kiemelt előirányzatonként</t>
  </si>
  <si>
    <t>3/a sz. melléklet: Működési mérleg</t>
  </si>
  <si>
    <t>3/b. sz. melléklet: Felhalmozási mérleg</t>
  </si>
  <si>
    <t>Megnevezés</t>
  </si>
  <si>
    <t>Belső ellenőrzés</t>
  </si>
  <si>
    <t>Személy szállítás</t>
  </si>
  <si>
    <t>Kiadások mindösszesen:</t>
  </si>
  <si>
    <t>Egyenleg:</t>
  </si>
  <si>
    <t>Függő bevételek összesen:</t>
  </si>
  <si>
    <t>Függő kiadások összesen:</t>
  </si>
  <si>
    <t>Felhalmozási kiadások összesen:</t>
  </si>
  <si>
    <t>Felhalmozási költségvetés hiánya:</t>
  </si>
  <si>
    <t>Felhalmozási költségvetés többlete:</t>
  </si>
  <si>
    <t>Közfoglalkoztatási programok</t>
  </si>
  <si>
    <t xml:space="preserve">       1.4. Egyéb működési célú kiadás</t>
  </si>
  <si>
    <t xml:space="preserve">              1.4.1 Támogatásértékű működési kiadások</t>
  </si>
  <si>
    <t xml:space="preserve">              1.4.2 Működési célú pénzeszközátadás</t>
  </si>
  <si>
    <t xml:space="preserve">       1.5. Ellátottak pénzbeli juttatása</t>
  </si>
  <si>
    <t xml:space="preserve">       1.2. Munkaadókat terhelő járulékok és szociális  hozzájárulási adó</t>
  </si>
  <si>
    <t xml:space="preserve">       2.1. Beruházás</t>
  </si>
  <si>
    <t xml:space="preserve">              2.3.1 Fejlesztési célú pénzeszközátadás</t>
  </si>
  <si>
    <t xml:space="preserve">              2.3.2 Támogatásértékű pénzeszközátadás</t>
  </si>
  <si>
    <t xml:space="preserve">       2.2. Felújítás</t>
  </si>
  <si>
    <t xml:space="preserve">       2.3. Egyéb felhalmozási kiadások </t>
  </si>
  <si>
    <t>4. Általános tartalék</t>
  </si>
  <si>
    <t>5. Céltartalék</t>
  </si>
  <si>
    <t xml:space="preserve">       1.4.1 Támogatásértékű működési kiadások</t>
  </si>
  <si>
    <t xml:space="preserve">       1.4.2 Működési célú pénzeszközátadás</t>
  </si>
  <si>
    <t xml:space="preserve">       2.1. Beruházások</t>
  </si>
  <si>
    <t xml:space="preserve">       2.2. Felújítások</t>
  </si>
  <si>
    <t xml:space="preserve">         2. Pénzügyi befektetések bevételei  </t>
  </si>
  <si>
    <t xml:space="preserve">         2. Pénzügyi befektetések bevételei </t>
  </si>
  <si>
    <t xml:space="preserve">       2.3.1 Fejlesztési célú pénzeszközátadás</t>
  </si>
  <si>
    <t xml:space="preserve">       2.3.2 Támogatásértékű pénzeszközátadás</t>
  </si>
  <si>
    <t>START Közfoglalkoztatási programok</t>
  </si>
  <si>
    <t>II. Működési célú támogatás államháztartáson belülről:</t>
  </si>
  <si>
    <t>III. Működési célú pénzeszközátvétel</t>
  </si>
  <si>
    <t>IV. Közhatalmi bevételek:</t>
  </si>
  <si>
    <t>V. Felhalmozási célú támogatás államháztartáson belülről:</t>
  </si>
  <si>
    <t xml:space="preserve">             II.1 Elkülönült állami pénzalapból</t>
  </si>
  <si>
    <t xml:space="preserve">             II.2 TB pénzügyi alapjaiból</t>
  </si>
  <si>
    <t xml:space="preserve">             II.3 Helyi önkormányzattól</t>
  </si>
  <si>
    <t xml:space="preserve">             II.4 Európai uniós forrásból</t>
  </si>
  <si>
    <t xml:space="preserve">             II.5 Fejezeti kezelésű előirányzatból</t>
  </si>
  <si>
    <t xml:space="preserve">             II.6 Központi költségvetésből</t>
  </si>
  <si>
    <t xml:space="preserve">             V.1 Elkülönült állami pénzalapból</t>
  </si>
  <si>
    <t xml:space="preserve">             V.2 TB pénzügyi alapjaiból</t>
  </si>
  <si>
    <t xml:space="preserve">             V.3 Helyi önkormányzattól</t>
  </si>
  <si>
    <t xml:space="preserve">             V.4 Európai uniós forrásból</t>
  </si>
  <si>
    <t xml:space="preserve">             V.5 Fejezeti kezelésű előirányzatból</t>
  </si>
  <si>
    <t xml:space="preserve">             V.6 Központi költségvetésből</t>
  </si>
  <si>
    <t>VI. Felhalmozási bevétel:</t>
  </si>
  <si>
    <t xml:space="preserve">         1. Működési célú pénzeszközátvétel</t>
  </si>
  <si>
    <t>VII. Felhalmozási célú pénzeszközátvétel</t>
  </si>
  <si>
    <t xml:space="preserve">         1. Felhalmozási célú pénzeszközátvétel</t>
  </si>
  <si>
    <t>Költségvetési bevételek összesen = I. + II. + III. + IV. + V. + VI. + VII.</t>
  </si>
  <si>
    <t xml:space="preserve">VIII. Költségvetési hiány belső finanszírozására szolgáló pénzforgalom nélküli bevételek: </t>
  </si>
  <si>
    <t xml:space="preserve">         1. Közhatalmi bevételek összesen </t>
  </si>
  <si>
    <t>VI. Felhalmozási és tőke jellegű bevételek:</t>
  </si>
  <si>
    <t>Kötelező önkormányzati feladatok</t>
  </si>
  <si>
    <t>Önként vállalt önkormányzati feladat</t>
  </si>
  <si>
    <t>Államigazgatási feladat</t>
  </si>
  <si>
    <t>3. Általános tartalék</t>
  </si>
  <si>
    <t>4. Céltartalék</t>
  </si>
  <si>
    <t>TÁMOP 5.4.9</t>
  </si>
  <si>
    <t>7. melléklet: Likviditási terv</t>
  </si>
  <si>
    <t>8. melléklet: Többcélú Kistérségi Társulás költségvetése feladatonként</t>
  </si>
  <si>
    <t>Általános igazgatás</t>
  </si>
  <si>
    <t>Intézmény- finanszírozás Szeszk</t>
  </si>
  <si>
    <t>Intézmény- finanszírozás Óvodai Központr</t>
  </si>
  <si>
    <t>KEOP 1.1.1/C</t>
  </si>
  <si>
    <t>Telephely, működési engedély, telekalakítás</t>
  </si>
  <si>
    <t>Többcélú Kistérségi Társulás                 2015. évi eredeti előirányzat</t>
  </si>
  <si>
    <t>Szociális és Egészségügyi Szolgáltató Központ 2015. évi eredeti előirányzat</t>
  </si>
  <si>
    <t>Óvodai Központ 2015. évi eredeti előirányzat</t>
  </si>
  <si>
    <t>Összesen 2015. évi eredeti előirányzat</t>
  </si>
  <si>
    <t xml:space="preserve">       1.4.3 Intézményfinanszírozás</t>
  </si>
  <si>
    <t>Összesen 2015. évi módosított előirányzat</t>
  </si>
  <si>
    <t>Óvodai Központ 2015. évi módosított előirányzat</t>
  </si>
  <si>
    <t>Szociális és Egészségügyi Szolgáltató Központ 2015. évi módosított előirányzat</t>
  </si>
  <si>
    <t>Többcélú Kistérségi Társulás 2015. évi módosított előirányzat</t>
  </si>
  <si>
    <t xml:space="preserve">IX. Költségvetési hiány finanszírozására szolgáló bevételek: </t>
  </si>
  <si>
    <t xml:space="preserve">        1. Működési célú hitel felvétel</t>
  </si>
  <si>
    <t xml:space="preserve">       2. Felhalmozási célú hitel felvétel</t>
  </si>
  <si>
    <t xml:space="preserve">IX. Költségvetési hiány finanszírozására szolgáló működési bevételek: </t>
  </si>
  <si>
    <t xml:space="preserve">IX. Költségvetési hiány finanszírozására szolgáló felhalmozási bevételek: </t>
  </si>
  <si>
    <t>5. sz. melléklet: Felhalmozási kiadások programonként</t>
  </si>
  <si>
    <t>Marcali Kistérségi Többcélú Társulás</t>
  </si>
  <si>
    <t>S</t>
  </si>
  <si>
    <t>F e l a d a t</t>
  </si>
  <si>
    <t>Bruttó költség /e Ft eredeti előirányzat</t>
  </si>
  <si>
    <t>Saját forrás /e Ft eredeti előirányzat</t>
  </si>
  <si>
    <t>Külső forrás /e Ft eredeti előirányzat</t>
  </si>
  <si>
    <t>Bruttó költség /e Ft módosított előirányzat</t>
  </si>
  <si>
    <t>Saját forrás /e Ft módosított előirányzat</t>
  </si>
  <si>
    <t>Külső forrás /e Ft módosított előirányzat</t>
  </si>
  <si>
    <t>Forrás megnevezése</t>
  </si>
  <si>
    <t>sz.</t>
  </si>
  <si>
    <t>1.</t>
  </si>
  <si>
    <t>KEOP 1.1.1/C/13-2013-0039 pályázat megvalósítása, hulladékgazdálkodási eszközök beszerzése</t>
  </si>
  <si>
    <t>2.</t>
  </si>
  <si>
    <t>START földút program eszközbeszerzése</t>
  </si>
  <si>
    <t>3.</t>
  </si>
  <si>
    <t xml:space="preserve">            Összesen:</t>
  </si>
  <si>
    <t>Szociális és Egészségügyi Szolgáltató Központ</t>
  </si>
  <si>
    <t>Szociális étkeztetés számára autó beszerzése</t>
  </si>
  <si>
    <t>Társulás költségvetése</t>
  </si>
  <si>
    <t>Házi segítségnyújtás szolgáltatás számára 2 db elektronikus kerékpár beszerzése</t>
  </si>
  <si>
    <t>Marcali Óvodai Központ</t>
  </si>
  <si>
    <t>fő</t>
  </si>
  <si>
    <t>Teljes munkaidő eredeti előirányzat</t>
  </si>
  <si>
    <t>Létszám összesen eredeti előirányzat</t>
  </si>
  <si>
    <t>Teljes munkaidő módosított előirányzat</t>
  </si>
  <si>
    <t>Létszám összesen módosított előirányzat</t>
  </si>
  <si>
    <t xml:space="preserve">      Összesen:</t>
  </si>
  <si>
    <t>12. melléklet: Európai Unió által támogatott projektek</t>
  </si>
  <si>
    <t>KEOP 1.1.1/C/13-2013-0039; NFM önerő támogatás; Forgóeszközhitel</t>
  </si>
  <si>
    <t>10. melléklet: Létszám előirányzat</t>
  </si>
  <si>
    <t>S. sz.</t>
  </si>
  <si>
    <t xml:space="preserve">I n t é z m é n y </t>
  </si>
  <si>
    <t>Rész munkaidő eredeti előirányzat</t>
  </si>
  <si>
    <t>Rész munkaidő módosított előirányzat</t>
  </si>
  <si>
    <t>Marcali Kistérségi Többcélú Társulás Munkaszervezete</t>
  </si>
  <si>
    <t>KEOP 1.1.1/C/13-2013-0039 (475.395); NFM önerő támogatás (25021); Fejlesztési célú pénzeszközátvétel</t>
  </si>
  <si>
    <t>Fogászat</t>
  </si>
  <si>
    <t>9. melléklet: intézmények költségvetése kiemelt előirányzatonként</t>
  </si>
  <si>
    <t>Szociális és Egészségügyi Szolgáltató Központ költségvetése kiemelt előirányzatonként</t>
  </si>
  <si>
    <t>Bevételek</t>
  </si>
  <si>
    <t>2015. évi eredeti előirányzat</t>
  </si>
  <si>
    <t>Kiadások</t>
  </si>
  <si>
    <t>Kötelező feladat</t>
  </si>
  <si>
    <t>Önként vállalt feladat</t>
  </si>
  <si>
    <t>Állam- igazgatási feladat</t>
  </si>
  <si>
    <t>Működési bevételek</t>
  </si>
  <si>
    <t>Személyi juttatások</t>
  </si>
  <si>
    <t>Működési célú támogatás államháztartáson belülről</t>
  </si>
  <si>
    <t>Munkaadókat terhelő járulék</t>
  </si>
  <si>
    <t>Működési célú pénzeszközátvétel</t>
  </si>
  <si>
    <t>Dologi kiadások</t>
  </si>
  <si>
    <t>Intézményfinanszírozás</t>
  </si>
  <si>
    <t>Támogatásértékű működési célú pénzeszközátadás</t>
  </si>
  <si>
    <t>Közhatalmi bevételek</t>
  </si>
  <si>
    <t>Működési célú pénzeszközátadás</t>
  </si>
  <si>
    <t>Ellátottak pénzbeli juttatása</t>
  </si>
  <si>
    <t>Felhalmozási célú támogatás államháztartáson belülről</t>
  </si>
  <si>
    <t>Támogatásértékű felhalmozási célú pénzeszközátadás</t>
  </si>
  <si>
    <t>Felhalmozási bevétel</t>
  </si>
  <si>
    <t>Felhalmozási célú pénzeszközátadás</t>
  </si>
  <si>
    <t>Felhalmozási célú pénzeszközátvétel</t>
  </si>
  <si>
    <t>Beruházás</t>
  </si>
  <si>
    <t>Felújítás</t>
  </si>
  <si>
    <t>Pénzmaradvány</t>
  </si>
  <si>
    <t>Övodai Központ költségvetése kiemelt előirányzatonként</t>
  </si>
  <si>
    <t>2015. évi módosított előirányzat</t>
  </si>
  <si>
    <t>6. melléklet: Települések által fizetendő hozzájárulás</t>
  </si>
  <si>
    <t>2015. előirányzat</t>
  </si>
  <si>
    <t>Tagdíj</t>
  </si>
  <si>
    <t>Orvosi ügyelet</t>
  </si>
  <si>
    <t>Családsegítés/Gyermekjóléti szolgáltatás</t>
  </si>
  <si>
    <t>Házi segítségnyújtás</t>
  </si>
  <si>
    <t>SZESZK egyéb feladatok</t>
  </si>
  <si>
    <t>SZESZK egyéb költség, 2015. évi normatíva, támogató és közösségi átadás</t>
  </si>
  <si>
    <t>Szeszk 2014. évi hátralék</t>
  </si>
  <si>
    <t>SZESZK</t>
  </si>
  <si>
    <t>Belső ellenőrzés 2014. évi hátralék</t>
  </si>
  <si>
    <t>Óvodai nevelés 2014. évi hátralék</t>
  </si>
  <si>
    <t>Óvodai nevelés</t>
  </si>
  <si>
    <t>Óvodai normatíva átadás</t>
  </si>
  <si>
    <t>Óvoda összesen</t>
  </si>
  <si>
    <t>Hatósági Igazgatás</t>
  </si>
  <si>
    <t>Hatósági Igazgatás 2014. évi hátralék</t>
  </si>
  <si>
    <t>Közfoglalkoztatás önrész</t>
  </si>
  <si>
    <t>KEOP 1.1.1/C/13-2013-0039 pályázat önerő</t>
  </si>
  <si>
    <t>2012. évi beszámoló alapján fizetendő</t>
  </si>
  <si>
    <t>2013. évi beszámoló alapján fizetendő</t>
  </si>
  <si>
    <t>EPSZ hátralék</t>
  </si>
  <si>
    <t>2014. évi beszámoló alapján fizetendő</t>
  </si>
  <si>
    <t>Településnév</t>
  </si>
  <si>
    <t>0-18 éves lakosság</t>
  </si>
  <si>
    <t>2014. évi hátralék</t>
  </si>
  <si>
    <t>Balatonberény</t>
  </si>
  <si>
    <t>Balatonkeresztúr</t>
  </si>
  <si>
    <t>Balatonmáriafürdő</t>
  </si>
  <si>
    <t>Balatonszentgyörgy</t>
  </si>
  <si>
    <t>Balatonújlak</t>
  </si>
  <si>
    <t>Böhönye</t>
  </si>
  <si>
    <t>Csákány</t>
  </si>
  <si>
    <t>Csömend</t>
  </si>
  <si>
    <t>Főnyed</t>
  </si>
  <si>
    <t>Gadány</t>
  </si>
  <si>
    <t>Hollád</t>
  </si>
  <si>
    <t>Hosszúvíz</t>
  </si>
  <si>
    <t>Kelevíz</t>
  </si>
  <si>
    <t>Kéthely</t>
  </si>
  <si>
    <t>Libickozma</t>
  </si>
  <si>
    <t>Marcali</t>
  </si>
  <si>
    <t>Mesztegnyő</t>
  </si>
  <si>
    <t>Nagyszakácsi</t>
  </si>
  <si>
    <t>Nemesdéd</t>
  </si>
  <si>
    <t>Nemeskisfalud</t>
  </si>
  <si>
    <t>Nemesvid</t>
  </si>
  <si>
    <t>Nikla</t>
  </si>
  <si>
    <t>Pusztakovácsi</t>
  </si>
  <si>
    <t>Sávoly</t>
  </si>
  <si>
    <t>Somogyfajsz</t>
  </si>
  <si>
    <t>Somogysámson</t>
  </si>
  <si>
    <t>Somogysimonyi</t>
  </si>
  <si>
    <t>Somogyszentpál</t>
  </si>
  <si>
    <t>Somogyzsitfa</t>
  </si>
  <si>
    <t>Szegerdő</t>
  </si>
  <si>
    <t>Szenyér</t>
  </si>
  <si>
    <t>Szőkedencs</t>
  </si>
  <si>
    <t>Tapsony</t>
  </si>
  <si>
    <t>Táska</t>
  </si>
  <si>
    <t>Tikos</t>
  </si>
  <si>
    <t>Varászló</t>
  </si>
  <si>
    <t>Vése</t>
  </si>
  <si>
    <t>Vörs</t>
  </si>
  <si>
    <t>Bérkompenzáció, Létszámleépítés pályázat</t>
  </si>
  <si>
    <t>Nemzeti Foglalkoztatási Alap; Saját forrás</t>
  </si>
  <si>
    <t>TÁMOP 5.4.9 alapszolgáltatások összekapcsolása</t>
  </si>
  <si>
    <t>TÁMOP 5.4.9 pályázati támogatás</t>
  </si>
  <si>
    <t>TÁMOP 5.4.9 eszközbeszerzés</t>
  </si>
  <si>
    <t>4.</t>
  </si>
  <si>
    <t>Bölcsődei játék</t>
  </si>
  <si>
    <t>Pályázati támogatás</t>
  </si>
  <si>
    <t>Irodatechnikai eszközök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</si>
</sst>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justify"/>
    </xf>
    <xf numFmtId="3" fontId="51" fillId="0" borderId="11" xfId="0" applyNumberFormat="1" applyFont="1" applyBorder="1" applyAlignment="1">
      <alignment/>
    </xf>
    <xf numFmtId="3" fontId="51" fillId="0" borderId="12" xfId="0" applyNumberFormat="1" applyFont="1" applyBorder="1" applyAlignment="1">
      <alignment/>
    </xf>
    <xf numFmtId="0" fontId="52" fillId="0" borderId="10" xfId="0" applyFont="1" applyBorder="1" applyAlignment="1">
      <alignment horizontal="justify"/>
    </xf>
    <xf numFmtId="3" fontId="52" fillId="0" borderId="11" xfId="0" applyNumberFormat="1" applyFont="1" applyBorder="1" applyAlignment="1">
      <alignment/>
    </xf>
    <xf numFmtId="3" fontId="51" fillId="33" borderId="11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3" fillId="0" borderId="0" xfId="0" applyFont="1" applyAlignment="1">
      <alignment horizontal="right"/>
    </xf>
    <xf numFmtId="0" fontId="54" fillId="33" borderId="10" xfId="0" applyFont="1" applyFill="1" applyBorder="1" applyAlignment="1">
      <alignment horizontal="justify"/>
    </xf>
    <xf numFmtId="3" fontId="54" fillId="33" borderId="11" xfId="0" applyNumberFormat="1" applyFont="1" applyFill="1" applyBorder="1" applyAlignment="1">
      <alignment/>
    </xf>
    <xf numFmtId="0" fontId="54" fillId="34" borderId="10" xfId="0" applyFont="1" applyFill="1" applyBorder="1" applyAlignment="1">
      <alignment horizontal="justify"/>
    </xf>
    <xf numFmtId="3" fontId="54" fillId="34" borderId="11" xfId="0" applyNumberFormat="1" applyFont="1" applyFill="1" applyBorder="1" applyAlignment="1">
      <alignment/>
    </xf>
    <xf numFmtId="0" fontId="52" fillId="0" borderId="0" xfId="0" applyFont="1" applyAlignment="1">
      <alignment horizontal="right"/>
    </xf>
    <xf numFmtId="0" fontId="4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3" fontId="51" fillId="33" borderId="12" xfId="0" applyNumberFormat="1" applyFont="1" applyFill="1" applyBorder="1" applyAlignment="1">
      <alignment/>
    </xf>
    <xf numFmtId="3" fontId="4" fillId="0" borderId="11" xfId="0" applyNumberFormat="1" applyFont="1" applyBorder="1" applyAlignment="1">
      <alignment vertical="top" wrapText="1"/>
    </xf>
    <xf numFmtId="3" fontId="51" fillId="0" borderId="13" xfId="0" applyNumberFormat="1" applyFont="1" applyBorder="1" applyAlignment="1">
      <alignment/>
    </xf>
    <xf numFmtId="3" fontId="51" fillId="0" borderId="14" xfId="0" applyNumberFormat="1" applyFont="1" applyBorder="1" applyAlignment="1">
      <alignment/>
    </xf>
    <xf numFmtId="0" fontId="54" fillId="33" borderId="15" xfId="0" applyFont="1" applyFill="1" applyBorder="1" applyAlignment="1">
      <alignment horizontal="justify"/>
    </xf>
    <xf numFmtId="3" fontId="54" fillId="33" borderId="16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 vertical="top" wrapText="1"/>
    </xf>
    <xf numFmtId="3" fontId="5" fillId="33" borderId="11" xfId="0" applyNumberFormat="1" applyFont="1" applyFill="1" applyBorder="1" applyAlignment="1">
      <alignment vertical="top" wrapText="1"/>
    </xf>
    <xf numFmtId="3" fontId="51" fillId="35" borderId="17" xfId="0" applyNumberFormat="1" applyFont="1" applyFill="1" applyBorder="1" applyAlignment="1">
      <alignment/>
    </xf>
    <xf numFmtId="3" fontId="51" fillId="35" borderId="18" xfId="0" applyNumberFormat="1" applyFont="1" applyFill="1" applyBorder="1" applyAlignment="1">
      <alignment/>
    </xf>
    <xf numFmtId="3" fontId="51" fillId="35" borderId="19" xfId="0" applyNumberFormat="1" applyFont="1" applyFill="1" applyBorder="1" applyAlignment="1">
      <alignment/>
    </xf>
    <xf numFmtId="3" fontId="51" fillId="35" borderId="20" xfId="0" applyNumberFormat="1" applyFont="1" applyFill="1" applyBorder="1" applyAlignment="1">
      <alignment/>
    </xf>
    <xf numFmtId="3" fontId="52" fillId="0" borderId="10" xfId="0" applyNumberFormat="1" applyFont="1" applyBorder="1" applyAlignment="1">
      <alignment horizontal="justify"/>
    </xf>
    <xf numFmtId="3" fontId="51" fillId="0" borderId="10" xfId="0" applyNumberFormat="1" applyFont="1" applyBorder="1" applyAlignment="1">
      <alignment horizontal="justify"/>
    </xf>
    <xf numFmtId="3" fontId="51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top" wrapText="1"/>
    </xf>
    <xf numFmtId="3" fontId="54" fillId="35" borderId="19" xfId="0" applyNumberFormat="1" applyFont="1" applyFill="1" applyBorder="1" applyAlignment="1">
      <alignment/>
    </xf>
    <xf numFmtId="3" fontId="54" fillId="35" borderId="20" xfId="0" applyNumberFormat="1" applyFont="1" applyFill="1" applyBorder="1" applyAlignment="1">
      <alignment/>
    </xf>
    <xf numFmtId="3" fontId="51" fillId="33" borderId="16" xfId="0" applyNumberFormat="1" applyFont="1" applyFill="1" applyBorder="1" applyAlignment="1">
      <alignment/>
    </xf>
    <xf numFmtId="3" fontId="54" fillId="33" borderId="10" xfId="0" applyNumberFormat="1" applyFont="1" applyFill="1" applyBorder="1" applyAlignment="1">
      <alignment horizontal="justify"/>
    </xf>
    <xf numFmtId="0" fontId="4" fillId="0" borderId="10" xfId="0" applyFont="1" applyBorder="1" applyAlignment="1">
      <alignment vertical="top" wrapText="1"/>
    </xf>
    <xf numFmtId="0" fontId="51" fillId="36" borderId="15" xfId="0" applyFont="1" applyFill="1" applyBorder="1" applyAlignment="1">
      <alignment horizontal="center" vertical="center"/>
    </xf>
    <xf numFmtId="0" fontId="51" fillId="36" borderId="16" xfId="0" applyFont="1" applyFill="1" applyBorder="1" applyAlignment="1">
      <alignment horizontal="center" vertical="center" wrapText="1"/>
    </xf>
    <xf numFmtId="0" fontId="54" fillId="35" borderId="21" xfId="0" applyFont="1" applyFill="1" applyBorder="1" applyAlignment="1">
      <alignment/>
    </xf>
    <xf numFmtId="3" fontId="54" fillId="35" borderId="17" xfId="0" applyNumberFormat="1" applyFont="1" applyFill="1" applyBorder="1" applyAlignment="1">
      <alignment/>
    </xf>
    <xf numFmtId="3" fontId="54" fillId="35" borderId="22" xfId="0" applyNumberFormat="1" applyFont="1" applyFill="1" applyBorder="1" applyAlignment="1">
      <alignment/>
    </xf>
    <xf numFmtId="0" fontId="5" fillId="35" borderId="17" xfId="0" applyFont="1" applyFill="1" applyBorder="1" applyAlignment="1">
      <alignment vertical="top" wrapText="1"/>
    </xf>
    <xf numFmtId="0" fontId="4" fillId="36" borderId="16" xfId="0" applyFont="1" applyFill="1" applyBorder="1" applyAlignment="1">
      <alignment horizontal="center" vertical="center" wrapText="1"/>
    </xf>
    <xf numFmtId="0" fontId="54" fillId="35" borderId="10" xfId="0" applyFont="1" applyFill="1" applyBorder="1" applyAlignment="1">
      <alignment/>
    </xf>
    <xf numFmtId="3" fontId="54" fillId="35" borderId="11" xfId="0" applyNumberFormat="1" applyFont="1" applyFill="1" applyBorder="1" applyAlignment="1">
      <alignment/>
    </xf>
    <xf numFmtId="3" fontId="54" fillId="35" borderId="12" xfId="0" applyNumberFormat="1" applyFont="1" applyFill="1" applyBorder="1" applyAlignment="1">
      <alignment/>
    </xf>
    <xf numFmtId="3" fontId="54" fillId="35" borderId="10" xfId="0" applyNumberFormat="1" applyFont="1" applyFill="1" applyBorder="1" applyAlignment="1">
      <alignment/>
    </xf>
    <xf numFmtId="3" fontId="54" fillId="35" borderId="21" xfId="0" applyNumberFormat="1" applyFont="1" applyFill="1" applyBorder="1" applyAlignment="1">
      <alignment/>
    </xf>
    <xf numFmtId="0" fontId="5" fillId="35" borderId="21" xfId="0" applyFont="1" applyFill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0" fontId="54" fillId="36" borderId="15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0" fontId="54" fillId="36" borderId="23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horizontal="justify"/>
    </xf>
    <xf numFmtId="3" fontId="51" fillId="35" borderId="22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justify"/>
    </xf>
    <xf numFmtId="3" fontId="51" fillId="0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47" fillId="33" borderId="11" xfId="0" applyNumberFormat="1" applyFont="1" applyFill="1" applyBorder="1" applyAlignment="1">
      <alignment/>
    </xf>
    <xf numFmtId="3" fontId="47" fillId="33" borderId="12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47" fillId="0" borderId="12" xfId="0" applyNumberFormat="1" applyFont="1" applyBorder="1" applyAlignment="1">
      <alignment/>
    </xf>
    <xf numFmtId="3" fontId="53" fillId="0" borderId="11" xfId="0" applyNumberFormat="1" applyFont="1" applyBorder="1" applyAlignment="1">
      <alignment/>
    </xf>
    <xf numFmtId="3" fontId="55" fillId="0" borderId="12" xfId="0" applyNumberFormat="1" applyFont="1" applyBorder="1" applyAlignment="1">
      <alignment/>
    </xf>
    <xf numFmtId="3" fontId="47" fillId="34" borderId="11" xfId="0" applyNumberFormat="1" applyFont="1" applyFill="1" applyBorder="1" applyAlignment="1">
      <alignment/>
    </xf>
    <xf numFmtId="3" fontId="47" fillId="34" borderId="12" xfId="0" applyNumberFormat="1" applyFont="1" applyFill="1" applyBorder="1" applyAlignment="1">
      <alignment/>
    </xf>
    <xf numFmtId="3" fontId="53" fillId="0" borderId="11" xfId="0" applyNumberFormat="1" applyFont="1" applyFill="1" applyBorder="1" applyAlignment="1">
      <alignment/>
    </xf>
    <xf numFmtId="3" fontId="47" fillId="35" borderId="11" xfId="0" applyNumberFormat="1" applyFont="1" applyFill="1" applyBorder="1" applyAlignment="1">
      <alignment/>
    </xf>
    <xf numFmtId="3" fontId="47" fillId="35" borderId="12" xfId="0" applyNumberFormat="1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6" borderId="21" xfId="0" applyFont="1" applyFill="1" applyBorder="1" applyAlignment="1">
      <alignment vertical="top" wrapText="1"/>
    </xf>
    <xf numFmtId="3" fontId="47" fillId="36" borderId="17" xfId="0" applyNumberFormat="1" applyFont="1" applyFill="1" applyBorder="1" applyAlignment="1">
      <alignment/>
    </xf>
    <xf numFmtId="3" fontId="47" fillId="36" borderId="22" xfId="0" applyNumberFormat="1" applyFont="1" applyFill="1" applyBorder="1" applyAlignment="1">
      <alignment/>
    </xf>
    <xf numFmtId="3" fontId="51" fillId="0" borderId="11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4" fillId="33" borderId="11" xfId="0" applyNumberFormat="1" applyFont="1" applyFill="1" applyBorder="1" applyAlignment="1">
      <alignment horizontal="right"/>
    </xf>
    <xf numFmtId="3" fontId="54" fillId="34" borderId="11" xfId="0" applyNumberFormat="1" applyFont="1" applyFill="1" applyBorder="1" applyAlignment="1">
      <alignment horizontal="right"/>
    </xf>
    <xf numFmtId="3" fontId="51" fillId="0" borderId="24" xfId="0" applyNumberFormat="1" applyFont="1" applyBorder="1" applyAlignment="1">
      <alignment horizontal="right"/>
    </xf>
    <xf numFmtId="3" fontId="51" fillId="0" borderId="25" xfId="0" applyNumberFormat="1" applyFont="1" applyBorder="1" applyAlignment="1">
      <alignment/>
    </xf>
    <xf numFmtId="3" fontId="54" fillId="35" borderId="26" xfId="0" applyNumberFormat="1" applyFont="1" applyFill="1" applyBorder="1" applyAlignment="1">
      <alignment/>
    </xf>
    <xf numFmtId="0" fontId="51" fillId="36" borderId="27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3" fontId="54" fillId="33" borderId="10" xfId="0" applyNumberFormat="1" applyFont="1" applyFill="1" applyBorder="1" applyAlignment="1">
      <alignment/>
    </xf>
    <xf numFmtId="3" fontId="52" fillId="0" borderId="10" xfId="0" applyNumberFormat="1" applyFont="1" applyBorder="1" applyAlignment="1">
      <alignment/>
    </xf>
    <xf numFmtId="3" fontId="54" fillId="34" borderId="10" xfId="0" applyNumberFormat="1" applyFont="1" applyFill="1" applyBorder="1" applyAlignment="1">
      <alignment/>
    </xf>
    <xf numFmtId="0" fontId="54" fillId="35" borderId="28" xfId="0" applyFont="1" applyFill="1" applyBorder="1" applyAlignment="1">
      <alignment/>
    </xf>
    <xf numFmtId="3" fontId="54" fillId="35" borderId="29" xfId="0" applyNumberFormat="1" applyFont="1" applyFill="1" applyBorder="1" applyAlignment="1">
      <alignment horizontal="right"/>
    </xf>
    <xf numFmtId="0" fontId="54" fillId="35" borderId="30" xfId="0" applyFont="1" applyFill="1" applyBorder="1" applyAlignment="1">
      <alignment/>
    </xf>
    <xf numFmtId="3" fontId="54" fillId="35" borderId="31" xfId="0" applyNumberFormat="1" applyFont="1" applyFill="1" applyBorder="1" applyAlignment="1">
      <alignment horizontal="right"/>
    </xf>
    <xf numFmtId="3" fontId="54" fillId="35" borderId="31" xfId="0" applyNumberFormat="1" applyFont="1" applyFill="1" applyBorder="1" applyAlignment="1">
      <alignment/>
    </xf>
    <xf numFmtId="0" fontId="5" fillId="35" borderId="30" xfId="0" applyFont="1" applyFill="1" applyBorder="1" applyAlignment="1">
      <alignment vertical="top" wrapText="1"/>
    </xf>
    <xf numFmtId="3" fontId="4" fillId="0" borderId="11" xfId="0" applyNumberFormat="1" applyFont="1" applyFill="1" applyBorder="1" applyAlignment="1">
      <alignment/>
    </xf>
    <xf numFmtId="3" fontId="51" fillId="0" borderId="0" xfId="0" applyNumberFormat="1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3" fontId="5" fillId="33" borderId="27" xfId="0" applyNumberFormat="1" applyFont="1" applyFill="1" applyBorder="1" applyAlignment="1">
      <alignment vertical="top" wrapText="1"/>
    </xf>
    <xf numFmtId="3" fontId="4" fillId="0" borderId="25" xfId="0" applyNumberFormat="1" applyFont="1" applyBorder="1" applyAlignment="1">
      <alignment vertical="top" wrapText="1"/>
    </xf>
    <xf numFmtId="3" fontId="4" fillId="0" borderId="25" xfId="0" applyNumberFormat="1" applyFont="1" applyBorder="1" applyAlignment="1">
      <alignment vertical="center" wrapText="1"/>
    </xf>
    <xf numFmtId="3" fontId="5" fillId="33" borderId="25" xfId="0" applyNumberFormat="1" applyFont="1" applyFill="1" applyBorder="1" applyAlignment="1">
      <alignment vertical="top" wrapText="1"/>
    </xf>
    <xf numFmtId="3" fontId="54" fillId="35" borderId="25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47" fillId="0" borderId="12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vertical="top" wrapText="1"/>
    </xf>
    <xf numFmtId="3" fontId="0" fillId="33" borderId="11" xfId="0" applyNumberFormat="1" applyFill="1" applyBorder="1" applyAlignment="1">
      <alignment/>
    </xf>
    <xf numFmtId="3" fontId="47" fillId="33" borderId="25" xfId="0" applyNumberFormat="1" applyFont="1" applyFill="1" applyBorder="1" applyAlignment="1">
      <alignment/>
    </xf>
    <xf numFmtId="3" fontId="0" fillId="0" borderId="25" xfId="0" applyNumberFormat="1" applyBorder="1" applyAlignment="1">
      <alignment/>
    </xf>
    <xf numFmtId="3" fontId="53" fillId="0" borderId="25" xfId="0" applyNumberFormat="1" applyFont="1" applyBorder="1" applyAlignment="1">
      <alignment/>
    </xf>
    <xf numFmtId="3" fontId="0" fillId="0" borderId="25" xfId="0" applyNumberFormat="1" applyFill="1" applyBorder="1" applyAlignment="1">
      <alignment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54" fillId="33" borderId="23" xfId="0" applyNumberFormat="1" applyFont="1" applyFill="1" applyBorder="1" applyAlignment="1">
      <alignment/>
    </xf>
    <xf numFmtId="3" fontId="54" fillId="33" borderId="12" xfId="0" applyNumberFormat="1" applyFont="1" applyFill="1" applyBorder="1" applyAlignment="1">
      <alignment/>
    </xf>
    <xf numFmtId="3" fontId="51" fillId="0" borderId="32" xfId="0" applyNumberFormat="1" applyFont="1" applyBorder="1" applyAlignment="1">
      <alignment/>
    </xf>
    <xf numFmtId="3" fontId="51" fillId="0" borderId="33" xfId="0" applyNumberFormat="1" applyFont="1" applyBorder="1" applyAlignment="1">
      <alignment/>
    </xf>
    <xf numFmtId="3" fontId="51" fillId="33" borderId="23" xfId="0" applyNumberFormat="1" applyFont="1" applyFill="1" applyBorder="1" applyAlignment="1">
      <alignment/>
    </xf>
    <xf numFmtId="3" fontId="54" fillId="0" borderId="12" xfId="0" applyNumberFormat="1" applyFont="1" applyFill="1" applyBorder="1" applyAlignment="1">
      <alignment/>
    </xf>
    <xf numFmtId="0" fontId="51" fillId="36" borderId="34" xfId="0" applyFont="1" applyFill="1" applyBorder="1" applyAlignment="1">
      <alignment horizontal="center" vertical="center" wrapText="1"/>
    </xf>
    <xf numFmtId="0" fontId="51" fillId="36" borderId="23" xfId="0" applyFont="1" applyFill="1" applyBorder="1" applyAlignment="1">
      <alignment horizontal="center" vertical="center" wrapText="1"/>
    </xf>
    <xf numFmtId="3" fontId="52" fillId="0" borderId="12" xfId="0" applyNumberFormat="1" applyFont="1" applyBorder="1" applyAlignment="1">
      <alignment/>
    </xf>
    <xf numFmtId="3" fontId="54" fillId="33" borderId="35" xfId="0" applyNumberFormat="1" applyFont="1" applyFill="1" applyBorder="1" applyAlignment="1">
      <alignment/>
    </xf>
    <xf numFmtId="3" fontId="51" fillId="0" borderId="35" xfId="0" applyNumberFormat="1" applyFont="1" applyBorder="1" applyAlignment="1">
      <alignment/>
    </xf>
    <xf numFmtId="3" fontId="52" fillId="0" borderId="35" xfId="0" applyNumberFormat="1" applyFont="1" applyBorder="1" applyAlignment="1">
      <alignment/>
    </xf>
    <xf numFmtId="3" fontId="54" fillId="35" borderId="36" xfId="0" applyNumberFormat="1" applyFont="1" applyFill="1" applyBorder="1" applyAlignment="1">
      <alignment/>
    </xf>
    <xf numFmtId="3" fontId="54" fillId="35" borderId="37" xfId="0" applyNumberFormat="1" applyFont="1" applyFill="1" applyBorder="1" applyAlignment="1">
      <alignment/>
    </xf>
    <xf numFmtId="0" fontId="54" fillId="34" borderId="10" xfId="0" applyFont="1" applyFill="1" applyBorder="1" applyAlignment="1">
      <alignment horizontal="left"/>
    </xf>
    <xf numFmtId="3" fontId="54" fillId="34" borderId="24" xfId="0" applyNumberFormat="1" applyFont="1" applyFill="1" applyBorder="1" applyAlignment="1">
      <alignment horizontal="right"/>
    </xf>
    <xf numFmtId="3" fontId="54" fillId="35" borderId="38" xfId="0" applyNumberFormat="1" applyFont="1" applyFill="1" applyBorder="1" applyAlignment="1">
      <alignment/>
    </xf>
    <xf numFmtId="3" fontId="54" fillId="35" borderId="39" xfId="0" applyNumberFormat="1" applyFont="1" applyFill="1" applyBorder="1" applyAlignment="1">
      <alignment/>
    </xf>
    <xf numFmtId="3" fontId="54" fillId="35" borderId="40" xfId="0" applyNumberFormat="1" applyFont="1" applyFill="1" applyBorder="1" applyAlignment="1">
      <alignment/>
    </xf>
    <xf numFmtId="3" fontId="54" fillId="35" borderId="22" xfId="0" applyNumberFormat="1" applyFont="1" applyFill="1" applyBorder="1" applyAlignment="1">
      <alignment horizontal="right"/>
    </xf>
    <xf numFmtId="3" fontId="54" fillId="35" borderId="41" xfId="0" applyNumberFormat="1" applyFont="1" applyFill="1" applyBorder="1" applyAlignment="1">
      <alignment horizontal="right"/>
    </xf>
    <xf numFmtId="0" fontId="5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36" borderId="42" xfId="0" applyFont="1" applyFill="1" applyBorder="1" applyAlignment="1">
      <alignment horizontal="center" vertical="center" wrapText="1"/>
    </xf>
    <xf numFmtId="0" fontId="5" fillId="36" borderId="4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vertical="top" wrapText="1"/>
    </xf>
    <xf numFmtId="3" fontId="4" fillId="0" borderId="29" xfId="0" applyNumberFormat="1" applyFont="1" applyBorder="1" applyAlignment="1">
      <alignment vertical="top" wrapText="1"/>
    </xf>
    <xf numFmtId="3" fontId="4" fillId="0" borderId="29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4" fillId="0" borderId="44" xfId="0" applyFont="1" applyBorder="1" applyAlignment="1">
      <alignment horizontal="right" vertical="top" wrapText="1"/>
    </xf>
    <xf numFmtId="0" fontId="4" fillId="0" borderId="28" xfId="0" applyFont="1" applyBorder="1" applyAlignment="1">
      <alignment vertical="top" wrapText="1"/>
    </xf>
    <xf numFmtId="3" fontId="5" fillId="35" borderId="17" xfId="0" applyNumberFormat="1" applyFont="1" applyFill="1" applyBorder="1" applyAlignment="1">
      <alignment horizontal="right" vertical="top" wrapText="1"/>
    </xf>
    <xf numFmtId="0" fontId="5" fillId="35" borderId="22" xfId="0" applyFont="1" applyFill="1" applyBorder="1" applyAlignment="1">
      <alignment horizontal="right" vertical="top" wrapText="1"/>
    </xf>
    <xf numFmtId="3" fontId="5" fillId="35" borderId="26" xfId="0" applyNumberFormat="1" applyFont="1" applyFill="1" applyBorder="1" applyAlignment="1">
      <alignment horizontal="right" vertical="top" wrapText="1"/>
    </xf>
    <xf numFmtId="0" fontId="5" fillId="36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4" fillId="35" borderId="21" xfId="0" applyFont="1" applyFill="1" applyBorder="1" applyAlignment="1">
      <alignment vertical="top" wrapText="1"/>
    </xf>
    <xf numFmtId="0" fontId="5" fillId="35" borderId="17" xfId="0" applyFont="1" applyFill="1" applyBorder="1" applyAlignment="1">
      <alignment horizontal="right" vertical="top" wrapText="1"/>
    </xf>
    <xf numFmtId="0" fontId="4" fillId="0" borderId="32" xfId="0" applyFont="1" applyBorder="1" applyAlignment="1">
      <alignment horizontal="right" vertical="top" wrapText="1"/>
    </xf>
    <xf numFmtId="0" fontId="5" fillId="35" borderId="45" xfId="0" applyFont="1" applyFill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 horizontal="right" vertical="top" wrapText="1"/>
    </xf>
    <xf numFmtId="0" fontId="54" fillId="36" borderId="15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/>
    </xf>
    <xf numFmtId="0" fontId="54" fillId="36" borderId="27" xfId="0" applyFont="1" applyFill="1" applyBorder="1" applyAlignment="1">
      <alignment horizontal="center" vertical="center"/>
    </xf>
    <xf numFmtId="0" fontId="54" fillId="36" borderId="43" xfId="0" applyFont="1" applyFill="1" applyBorder="1" applyAlignment="1">
      <alignment horizontal="center" vertical="center" wrapText="1"/>
    </xf>
    <xf numFmtId="0" fontId="54" fillId="36" borderId="46" xfId="0" applyFont="1" applyFill="1" applyBorder="1" applyAlignment="1">
      <alignment horizontal="center" vertical="center" wrapText="1"/>
    </xf>
    <xf numFmtId="0" fontId="54" fillId="35" borderId="46" xfId="0" applyFont="1" applyFill="1" applyBorder="1" applyAlignment="1">
      <alignment/>
    </xf>
    <xf numFmtId="0" fontId="54" fillId="36" borderId="47" xfId="0" applyFont="1" applyFill="1" applyBorder="1" applyAlignment="1">
      <alignment horizontal="center" vertical="center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vertical="center" wrapText="1"/>
    </xf>
    <xf numFmtId="0" fontId="56" fillId="16" borderId="10" xfId="0" applyFont="1" applyFill="1" applyBorder="1" applyAlignment="1">
      <alignment/>
    </xf>
    <xf numFmtId="3" fontId="56" fillId="16" borderId="11" xfId="0" applyNumberFormat="1" applyFont="1" applyFill="1" applyBorder="1" applyAlignment="1">
      <alignment/>
    </xf>
    <xf numFmtId="0" fontId="10" fillId="16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51" fillId="0" borderId="29" xfId="0" applyFont="1" applyBorder="1" applyAlignment="1">
      <alignment/>
    </xf>
    <xf numFmtId="0" fontId="51" fillId="35" borderId="29" xfId="0" applyFont="1" applyFill="1" applyBorder="1" applyAlignment="1">
      <alignment/>
    </xf>
    <xf numFmtId="0" fontId="10" fillId="0" borderId="29" xfId="0" applyFont="1" applyFill="1" applyBorder="1" applyAlignment="1">
      <alignment vertical="top" wrapText="1"/>
    </xf>
    <xf numFmtId="3" fontId="56" fillId="0" borderId="29" xfId="0" applyNumberFormat="1" applyFont="1" applyFill="1" applyBorder="1" applyAlignment="1">
      <alignment/>
    </xf>
    <xf numFmtId="0" fontId="54" fillId="35" borderId="17" xfId="0" applyFont="1" applyFill="1" applyBorder="1" applyAlignment="1">
      <alignment/>
    </xf>
    <xf numFmtId="0" fontId="54" fillId="36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top" wrapText="1"/>
    </xf>
    <xf numFmtId="3" fontId="51" fillId="0" borderId="29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0" fillId="0" borderId="10" xfId="0" applyNumberForma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3" fontId="54" fillId="36" borderId="27" xfId="0" applyNumberFormat="1" applyFont="1" applyFill="1" applyBorder="1" applyAlignment="1">
      <alignment horizontal="center" vertical="center" wrapText="1"/>
    </xf>
    <xf numFmtId="3" fontId="54" fillId="36" borderId="16" xfId="0" applyNumberFormat="1" applyFont="1" applyFill="1" applyBorder="1" applyAlignment="1">
      <alignment horizontal="center" vertical="center" wrapText="1"/>
    </xf>
    <xf numFmtId="3" fontId="54" fillId="36" borderId="23" xfId="0" applyNumberFormat="1" applyFont="1" applyFill="1" applyBorder="1" applyAlignment="1">
      <alignment horizontal="center" vertical="center" wrapText="1"/>
    </xf>
    <xf numFmtId="3" fontId="54" fillId="36" borderId="11" xfId="0" applyNumberFormat="1" applyFont="1" applyFill="1" applyBorder="1" applyAlignment="1">
      <alignment horizontal="center" wrapText="1"/>
    </xf>
    <xf numFmtId="3" fontId="54" fillId="36" borderId="11" xfId="0" applyNumberFormat="1" applyFont="1" applyFill="1" applyBorder="1" applyAlignment="1">
      <alignment horizontal="center"/>
    </xf>
    <xf numFmtId="3" fontId="54" fillId="36" borderId="11" xfId="0" applyNumberFormat="1" applyFont="1" applyFill="1" applyBorder="1" applyAlignment="1">
      <alignment horizontal="center" vertical="center" wrapText="1"/>
    </xf>
    <xf numFmtId="3" fontId="54" fillId="36" borderId="25" xfId="0" applyNumberFormat="1" applyFont="1" applyFill="1" applyBorder="1" applyAlignment="1">
      <alignment horizontal="center"/>
    </xf>
    <xf numFmtId="3" fontId="54" fillId="36" borderId="12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/>
      <protection hidden="1"/>
    </xf>
    <xf numFmtId="3" fontId="4" fillId="33" borderId="25" xfId="0" applyNumberFormat="1" applyFont="1" applyFill="1" applyBorder="1" applyAlignment="1">
      <alignment/>
    </xf>
    <xf numFmtId="3" fontId="54" fillId="0" borderId="12" xfId="0" applyNumberFormat="1" applyFont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51" fillId="35" borderId="21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54" fillId="36" borderId="15" xfId="0" applyNumberFormat="1" applyFont="1" applyFill="1" applyBorder="1" applyAlignment="1">
      <alignment horizontal="center"/>
    </xf>
    <xf numFmtId="3" fontId="54" fillId="36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 applyProtection="1">
      <alignment/>
      <protection hidden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1" fillId="36" borderId="48" xfId="0" applyFont="1" applyFill="1" applyBorder="1" applyAlignment="1">
      <alignment horizontal="center"/>
    </xf>
    <xf numFmtId="3" fontId="54" fillId="36" borderId="15" xfId="0" applyNumberFormat="1" applyFont="1" applyFill="1" applyBorder="1" applyAlignment="1">
      <alignment horizontal="center"/>
    </xf>
    <xf numFmtId="3" fontId="54" fillId="36" borderId="16" xfId="0" applyNumberFormat="1" applyFont="1" applyFill="1" applyBorder="1" applyAlignment="1">
      <alignment horizontal="center"/>
    </xf>
    <xf numFmtId="3" fontId="54" fillId="36" borderId="27" xfId="0" applyNumberFormat="1" applyFont="1" applyFill="1" applyBorder="1" applyAlignment="1">
      <alignment horizontal="center" vertical="center"/>
    </xf>
    <xf numFmtId="3" fontId="54" fillId="36" borderId="34" xfId="0" applyNumberFormat="1" applyFont="1" applyFill="1" applyBorder="1" applyAlignment="1">
      <alignment horizontal="center" vertical="center"/>
    </xf>
    <xf numFmtId="3" fontId="54" fillId="36" borderId="49" xfId="0" applyNumberFormat="1" applyFont="1" applyFill="1" applyBorder="1" applyAlignment="1">
      <alignment horizontal="center" vertical="center"/>
    </xf>
    <xf numFmtId="3" fontId="54" fillId="36" borderId="10" xfId="0" applyNumberFormat="1" applyFont="1" applyFill="1" applyBorder="1" applyAlignment="1">
      <alignment horizontal="center"/>
    </xf>
    <xf numFmtId="3" fontId="54" fillId="36" borderId="11" xfId="0" applyNumberFormat="1" applyFont="1" applyFill="1" applyBorder="1" applyAlignment="1">
      <alignment horizontal="center"/>
    </xf>
    <xf numFmtId="0" fontId="51" fillId="0" borderId="29" xfId="0" applyFont="1" applyBorder="1" applyAlignment="1">
      <alignment horizontal="center" vertical="center" wrapText="1"/>
    </xf>
    <xf numFmtId="0" fontId="51" fillId="0" borderId="4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1" fillId="0" borderId="16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4" fillId="36" borderId="16" xfId="0" applyFont="1" applyFill="1" applyBorder="1" applyAlignment="1">
      <alignment horizontal="center" vertical="center" wrapText="1"/>
    </xf>
    <xf numFmtId="0" fontId="54" fillId="36" borderId="23" xfId="0" applyFont="1" applyFill="1" applyBorder="1" applyAlignment="1">
      <alignment horizontal="center" vertical="center" wrapText="1"/>
    </xf>
    <xf numFmtId="0" fontId="54" fillId="36" borderId="27" xfId="0" applyFont="1" applyFill="1" applyBorder="1" applyAlignment="1">
      <alignment horizontal="center" vertical="center" wrapText="1"/>
    </xf>
    <xf numFmtId="0" fontId="54" fillId="36" borderId="34" xfId="0" applyFont="1" applyFill="1" applyBorder="1" applyAlignment="1">
      <alignment horizontal="center" vertical="center" wrapText="1"/>
    </xf>
    <xf numFmtId="0" fontId="54" fillId="36" borderId="49" xfId="0" applyFont="1" applyFill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1">
    <dxf>
      <fill>
        <patternFill>
          <bgColor rgb="FFFFFF00"/>
        </patternFill>
      </fill>
    </dxf>
  </dxfs>
  <tableStyles count="1" defaultTableStyle="TableStyleMedium9" defaultPivotStyle="PivotStyleLight16">
    <tableStyle name="Táblázatstílus 1" pivot="0" count="1">
      <tableStyleElement type="first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4406els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4406leg&#250;jab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10%20Kist&#233;rs&#233;g\10%20p&#233;nz&#252;gy\20%20k&#246;lts&#233;gvet&#233;s\k&#246;lts&#233;gvet&#233;s%202015\2015%20k&#246;lts&#233;gvet&#233;s%20eredeti\k&#246;lts&#233;gvet&#233;s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3. feladatok"/>
      <sheetName val="2.4. feladat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)"/>
      <sheetName val="2.2.2.-2.4. feladatok"/>
      <sheetName val="2.5.-2.8. feladatok"/>
      <sheetName val="Szakszolgálat-segéd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Bevételi források"/>
      <sheetName val="2.szKiadás kiemelt jogcímenként"/>
      <sheetName val="3a sz.Működési mérleg"/>
      <sheetName val="3b sz.Felhalmozási mérleg"/>
      <sheetName val="4. sz. felújítási ei"/>
      <sheetName val="5.sz.beruházási kiadások"/>
      <sheetName val="6.sz. Fizetendő hozzájárulás"/>
      <sheetName val="7. sz. Likviditási terv"/>
      <sheetName val="8.sz. Társulás ktgv. feladaton"/>
      <sheetName val="9. Intézményi költségvetések"/>
      <sheetName val="10.Létszám e. i."/>
      <sheetName val="11. Közfoglalk. létszám ei"/>
      <sheetName val="12.beruházási kiadások "/>
      <sheetName val="13. melléklet"/>
    </sheetNames>
    <sheetDataSet>
      <sheetData sheetId="1">
        <row r="14">
          <cell r="C14">
            <v>4296</v>
          </cell>
        </row>
        <row r="15">
          <cell r="C15">
            <v>2000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50"/>
  <sheetViews>
    <sheetView tabSelected="1" zoomScaleSheetLayoutView="80" workbookViewId="0" topLeftCell="A1">
      <selection activeCell="A2" sqref="A2"/>
    </sheetView>
  </sheetViews>
  <sheetFormatPr defaultColWidth="9.140625" defaultRowHeight="15"/>
  <cols>
    <col min="1" max="1" width="85.28125" style="0" customWidth="1"/>
    <col min="2" max="3" width="18.28125" style="0" customWidth="1"/>
    <col min="4" max="5" width="16.28125" style="0" customWidth="1"/>
    <col min="6" max="9" width="19.00390625" style="0" customWidth="1"/>
    <col min="10" max="10" width="21.57421875" style="0" customWidth="1"/>
  </cols>
  <sheetData>
    <row r="1" ht="15">
      <c r="A1" t="s">
        <v>42</v>
      </c>
    </row>
    <row r="2" spans="2:3" ht="15">
      <c r="B2" s="1"/>
      <c r="C2" s="1"/>
    </row>
    <row r="3" ht="15.75" thickBot="1"/>
    <row r="4" spans="1:9" ht="67.5" customHeight="1">
      <c r="A4" s="40" t="s">
        <v>38</v>
      </c>
      <c r="B4" s="41" t="s">
        <v>114</v>
      </c>
      <c r="C4" s="86" t="s">
        <v>122</v>
      </c>
      <c r="D4" s="86" t="s">
        <v>115</v>
      </c>
      <c r="E4" s="86" t="s">
        <v>121</v>
      </c>
      <c r="F4" s="86" t="s">
        <v>116</v>
      </c>
      <c r="G4" s="122" t="s">
        <v>120</v>
      </c>
      <c r="H4" s="87" t="s">
        <v>117</v>
      </c>
      <c r="I4" s="123" t="s">
        <v>119</v>
      </c>
    </row>
    <row r="5" spans="1:13" ht="20.25" customHeight="1">
      <c r="A5" s="11" t="s">
        <v>1</v>
      </c>
      <c r="B5" s="12">
        <f aca="true" t="shared" si="0" ref="B5:G5">B6</f>
        <v>5990</v>
      </c>
      <c r="C5" s="12">
        <f t="shared" si="0"/>
        <v>7018</v>
      </c>
      <c r="D5" s="12">
        <f t="shared" si="0"/>
        <v>45895</v>
      </c>
      <c r="E5" s="12">
        <f t="shared" si="0"/>
        <v>50445</v>
      </c>
      <c r="F5" s="12">
        <f t="shared" si="0"/>
        <v>0</v>
      </c>
      <c r="G5" s="12">
        <f t="shared" si="0"/>
        <v>50</v>
      </c>
      <c r="H5" s="88">
        <f aca="true" t="shared" si="1" ref="H5:I48">B5+D5+F5</f>
        <v>51885</v>
      </c>
      <c r="I5" s="88">
        <f t="shared" si="1"/>
        <v>57513</v>
      </c>
      <c r="J5" s="1"/>
      <c r="K5" s="1"/>
      <c r="L5" s="1"/>
      <c r="M5" s="1"/>
    </row>
    <row r="6" spans="1:13" ht="15">
      <c r="A6" s="3" t="s">
        <v>2</v>
      </c>
      <c r="B6" s="79">
        <v>5990</v>
      </c>
      <c r="C6" s="79">
        <v>7018</v>
      </c>
      <c r="D6" s="4">
        <v>45895</v>
      </c>
      <c r="E6" s="4">
        <v>50445</v>
      </c>
      <c r="F6" s="4">
        <v>0</v>
      </c>
      <c r="G6" s="4">
        <v>50</v>
      </c>
      <c r="H6" s="33">
        <f t="shared" si="1"/>
        <v>51885</v>
      </c>
      <c r="I6" s="33">
        <f t="shared" si="1"/>
        <v>57513</v>
      </c>
      <c r="J6" s="1"/>
      <c r="K6" s="1"/>
      <c r="L6" s="1"/>
      <c r="M6" s="1"/>
    </row>
    <row r="7" spans="1:13" ht="15">
      <c r="A7" s="3"/>
      <c r="B7" s="83"/>
      <c r="C7" s="83"/>
      <c r="D7" s="4"/>
      <c r="E7" s="4"/>
      <c r="F7" s="4"/>
      <c r="G7" s="4"/>
      <c r="H7" s="33">
        <f t="shared" si="1"/>
        <v>0</v>
      </c>
      <c r="I7" s="33">
        <f t="shared" si="1"/>
        <v>0</v>
      </c>
      <c r="J7" s="1"/>
      <c r="K7" s="1"/>
      <c r="L7" s="1"/>
      <c r="M7" s="1"/>
    </row>
    <row r="8" spans="1:13" ht="15">
      <c r="A8" s="11" t="s">
        <v>77</v>
      </c>
      <c r="B8" s="12">
        <f aca="true" t="shared" si="2" ref="B8:G8">SUM(B9:B15)</f>
        <v>611247</v>
      </c>
      <c r="C8" s="12">
        <f t="shared" si="2"/>
        <v>653702</v>
      </c>
      <c r="D8" s="12">
        <f t="shared" si="2"/>
        <v>61662</v>
      </c>
      <c r="E8" s="12">
        <f t="shared" si="2"/>
        <v>97069</v>
      </c>
      <c r="F8" s="12">
        <f t="shared" si="2"/>
        <v>0</v>
      </c>
      <c r="G8" s="12">
        <f t="shared" si="2"/>
        <v>1927</v>
      </c>
      <c r="H8" s="88">
        <f t="shared" si="1"/>
        <v>672909</v>
      </c>
      <c r="I8" s="88">
        <f t="shared" si="1"/>
        <v>752698</v>
      </c>
      <c r="J8" s="1"/>
      <c r="K8" s="1"/>
      <c r="L8" s="1"/>
      <c r="M8" s="1"/>
    </row>
    <row r="9" spans="1:16" ht="15">
      <c r="A9" s="3" t="s">
        <v>81</v>
      </c>
      <c r="B9" s="4">
        <v>90442</v>
      </c>
      <c r="C9" s="4">
        <v>113015</v>
      </c>
      <c r="D9" s="4"/>
      <c r="E9" s="84">
        <v>3905</v>
      </c>
      <c r="F9" s="4"/>
      <c r="G9" s="4">
        <v>531</v>
      </c>
      <c r="H9" s="33">
        <f t="shared" si="1"/>
        <v>90442</v>
      </c>
      <c r="I9" s="33">
        <f t="shared" si="1"/>
        <v>117451</v>
      </c>
      <c r="J9" s="1"/>
      <c r="K9" s="1"/>
      <c r="L9" s="1"/>
      <c r="M9" s="1"/>
      <c r="P9" s="1"/>
    </row>
    <row r="10" spans="1:13" ht="15">
      <c r="A10" s="3" t="s">
        <v>82</v>
      </c>
      <c r="B10" s="4"/>
      <c r="C10" s="4">
        <v>3000</v>
      </c>
      <c r="D10" s="4">
        <v>61662</v>
      </c>
      <c r="E10" s="84">
        <v>62439</v>
      </c>
      <c r="F10" s="4"/>
      <c r="G10" s="4"/>
      <c r="H10" s="33">
        <f t="shared" si="1"/>
        <v>61662</v>
      </c>
      <c r="I10" s="33">
        <f t="shared" si="1"/>
        <v>65439</v>
      </c>
      <c r="J10" s="1"/>
      <c r="K10" s="1"/>
      <c r="L10" s="1"/>
      <c r="M10" s="1"/>
    </row>
    <row r="11" spans="1:13" ht="15">
      <c r="A11" s="3" t="s">
        <v>83</v>
      </c>
      <c r="B11" s="4">
        <v>499155</v>
      </c>
      <c r="C11" s="4">
        <f>536663+236</f>
        <v>536899</v>
      </c>
      <c r="D11" s="4"/>
      <c r="E11" s="84">
        <v>30725</v>
      </c>
      <c r="F11" s="4"/>
      <c r="G11" s="4">
        <v>1396</v>
      </c>
      <c r="H11" s="33">
        <f t="shared" si="1"/>
        <v>499155</v>
      </c>
      <c r="I11" s="33">
        <f t="shared" si="1"/>
        <v>569020</v>
      </c>
      <c r="J11" s="1"/>
      <c r="K11" s="1"/>
      <c r="L11" s="1"/>
      <c r="M11" s="1"/>
    </row>
    <row r="12" spans="1:13" ht="15">
      <c r="A12" s="3" t="s">
        <v>84</v>
      </c>
      <c r="B12" s="4">
        <v>20592</v>
      </c>
      <c r="C12" s="4">
        <v>788</v>
      </c>
      <c r="D12" s="4"/>
      <c r="E12" s="4"/>
      <c r="F12" s="4"/>
      <c r="G12" s="4"/>
      <c r="H12" s="33">
        <f t="shared" si="1"/>
        <v>20592</v>
      </c>
      <c r="I12" s="33">
        <f t="shared" si="1"/>
        <v>788</v>
      </c>
      <c r="J12" s="1"/>
      <c r="K12" s="1"/>
      <c r="L12" s="1"/>
      <c r="M12" s="1"/>
    </row>
    <row r="13" spans="1:13" ht="15">
      <c r="A13" s="3" t="s">
        <v>85</v>
      </c>
      <c r="B13" s="4"/>
      <c r="C13" s="4">
        <v>0</v>
      </c>
      <c r="D13" s="4"/>
      <c r="E13" s="4"/>
      <c r="F13" s="4"/>
      <c r="G13" s="4"/>
      <c r="H13" s="33">
        <f t="shared" si="1"/>
        <v>0</v>
      </c>
      <c r="I13" s="33">
        <f t="shared" si="1"/>
        <v>0</v>
      </c>
      <c r="J13" s="1"/>
      <c r="K13" s="1"/>
      <c r="L13" s="1"/>
      <c r="M13" s="1"/>
    </row>
    <row r="14" spans="1:13" ht="15">
      <c r="A14" s="3" t="s">
        <v>86</v>
      </c>
      <c r="B14" s="4">
        <v>1058</v>
      </c>
      <c r="C14" s="4">
        <v>0</v>
      </c>
      <c r="D14" s="4"/>
      <c r="E14" s="4"/>
      <c r="F14" s="4"/>
      <c r="G14" s="4"/>
      <c r="H14" s="33">
        <f t="shared" si="1"/>
        <v>1058</v>
      </c>
      <c r="I14" s="33">
        <f t="shared" si="1"/>
        <v>0</v>
      </c>
      <c r="J14" s="1"/>
      <c r="K14" s="1"/>
      <c r="L14" s="1"/>
      <c r="M14" s="1"/>
    </row>
    <row r="15" spans="1:13" ht="15">
      <c r="A15" s="3"/>
      <c r="B15" s="4"/>
      <c r="C15" s="4"/>
      <c r="D15" s="4"/>
      <c r="E15" s="4"/>
      <c r="F15" s="4"/>
      <c r="G15" s="4"/>
      <c r="H15" s="33">
        <f t="shared" si="1"/>
        <v>0</v>
      </c>
      <c r="I15" s="33">
        <f t="shared" si="1"/>
        <v>0</v>
      </c>
      <c r="J15" s="1"/>
      <c r="K15" s="1"/>
      <c r="L15" s="1"/>
      <c r="M15" s="1"/>
    </row>
    <row r="16" spans="1:13" ht="15">
      <c r="A16" s="11" t="s">
        <v>78</v>
      </c>
      <c r="B16" s="81">
        <f aca="true" t="shared" si="3" ref="B16:G16">SUM(B17:B17)</f>
        <v>0</v>
      </c>
      <c r="C16" s="81">
        <f t="shared" si="3"/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  <c r="H16" s="88">
        <f t="shared" si="1"/>
        <v>0</v>
      </c>
      <c r="I16" s="88">
        <f t="shared" si="1"/>
        <v>0</v>
      </c>
      <c r="J16" s="1"/>
      <c r="K16" s="1"/>
      <c r="L16" s="1"/>
      <c r="M16" s="1"/>
    </row>
    <row r="17" spans="1:13" ht="15">
      <c r="A17" s="3" t="s">
        <v>94</v>
      </c>
      <c r="B17" s="83">
        <v>0</v>
      </c>
      <c r="C17" s="83"/>
      <c r="D17" s="4">
        <v>0</v>
      </c>
      <c r="E17" s="4"/>
      <c r="F17" s="4"/>
      <c r="G17" s="4"/>
      <c r="H17" s="33">
        <f t="shared" si="1"/>
        <v>0</v>
      </c>
      <c r="I17" s="33">
        <f t="shared" si="1"/>
        <v>0</v>
      </c>
      <c r="K17" s="1"/>
      <c r="L17" s="1"/>
      <c r="M17" s="1"/>
    </row>
    <row r="18" spans="1:13" ht="15">
      <c r="A18" s="3"/>
      <c r="B18" s="83"/>
      <c r="C18" s="83"/>
      <c r="D18" s="4"/>
      <c r="E18" s="4"/>
      <c r="F18" s="4"/>
      <c r="G18" s="4"/>
      <c r="H18" s="33">
        <f t="shared" si="1"/>
        <v>0</v>
      </c>
      <c r="I18" s="33">
        <f t="shared" si="1"/>
        <v>0</v>
      </c>
      <c r="K18" s="1"/>
      <c r="L18" s="1"/>
      <c r="M18" s="1"/>
    </row>
    <row r="19" spans="1:13" ht="15">
      <c r="A19" s="11" t="s">
        <v>79</v>
      </c>
      <c r="B19" s="81">
        <f aca="true" t="shared" si="4" ref="B19:G19">SUM(B20:B20)</f>
        <v>0</v>
      </c>
      <c r="C19" s="81">
        <f t="shared" si="4"/>
        <v>0</v>
      </c>
      <c r="D19" s="12">
        <f t="shared" si="4"/>
        <v>0</v>
      </c>
      <c r="E19" s="12">
        <f t="shared" si="4"/>
        <v>0</v>
      </c>
      <c r="F19" s="12">
        <f t="shared" si="4"/>
        <v>0</v>
      </c>
      <c r="G19" s="12">
        <f t="shared" si="4"/>
        <v>0</v>
      </c>
      <c r="H19" s="88">
        <f t="shared" si="1"/>
        <v>0</v>
      </c>
      <c r="I19" s="88">
        <f t="shared" si="1"/>
        <v>0</v>
      </c>
      <c r="K19" s="1"/>
      <c r="L19" s="1"/>
      <c r="M19" s="1"/>
    </row>
    <row r="20" spans="1:13" ht="15">
      <c r="A20" s="3" t="s">
        <v>99</v>
      </c>
      <c r="B20" s="4">
        <v>0</v>
      </c>
      <c r="C20" s="4"/>
      <c r="D20" s="4">
        <v>0</v>
      </c>
      <c r="E20" s="4"/>
      <c r="F20" s="4"/>
      <c r="G20" s="4"/>
      <c r="H20" s="33">
        <f t="shared" si="1"/>
        <v>0</v>
      </c>
      <c r="I20" s="33">
        <f t="shared" si="1"/>
        <v>0</v>
      </c>
      <c r="K20" s="1"/>
      <c r="L20" s="1"/>
      <c r="M20" s="1"/>
    </row>
    <row r="21" spans="1:13" ht="15">
      <c r="A21" s="3"/>
      <c r="B21" s="83"/>
      <c r="C21" s="83"/>
      <c r="D21" s="4"/>
      <c r="E21" s="4"/>
      <c r="F21" s="4"/>
      <c r="G21" s="4"/>
      <c r="H21" s="33">
        <f t="shared" si="1"/>
        <v>0</v>
      </c>
      <c r="I21" s="33">
        <f t="shared" si="1"/>
        <v>0</v>
      </c>
      <c r="K21" s="1"/>
      <c r="L21" s="1"/>
      <c r="M21" s="1"/>
    </row>
    <row r="22" spans="1:13" ht="15">
      <c r="A22" s="11" t="s">
        <v>80</v>
      </c>
      <c r="B22" s="81">
        <f aca="true" t="shared" si="5" ref="B22:G22">SUM(B23:B29)</f>
        <v>487077</v>
      </c>
      <c r="C22" s="81">
        <f t="shared" si="5"/>
        <v>500416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88">
        <f t="shared" si="1"/>
        <v>487077</v>
      </c>
      <c r="I22" s="88">
        <f t="shared" si="1"/>
        <v>500416</v>
      </c>
      <c r="K22" s="1"/>
      <c r="L22" s="1"/>
      <c r="M22" s="1"/>
    </row>
    <row r="23" spans="1:13" ht="15">
      <c r="A23" s="3" t="s">
        <v>87</v>
      </c>
      <c r="B23" s="4">
        <v>7811</v>
      </c>
      <c r="C23" s="4"/>
      <c r="D23" s="4"/>
      <c r="E23" s="4"/>
      <c r="F23" s="4"/>
      <c r="G23" s="4"/>
      <c r="H23" s="33">
        <f t="shared" si="1"/>
        <v>7811</v>
      </c>
      <c r="I23" s="33">
        <f t="shared" si="1"/>
        <v>0</v>
      </c>
      <c r="K23" s="1"/>
      <c r="L23" s="1"/>
      <c r="M23" s="1"/>
    </row>
    <row r="24" spans="1:13" ht="15">
      <c r="A24" s="3" t="s">
        <v>88</v>
      </c>
      <c r="B24" s="4"/>
      <c r="C24" s="4"/>
      <c r="D24" s="4"/>
      <c r="E24" s="4"/>
      <c r="F24" s="4"/>
      <c r="G24" s="4"/>
      <c r="H24" s="33">
        <f t="shared" si="1"/>
        <v>0</v>
      </c>
      <c r="I24" s="33">
        <f t="shared" si="1"/>
        <v>0</v>
      </c>
      <c r="K24" s="1"/>
      <c r="L24" s="1"/>
      <c r="M24" s="1"/>
    </row>
    <row r="25" spans="1:13" ht="15">
      <c r="A25" s="3" t="s">
        <v>89</v>
      </c>
      <c r="B25" s="4"/>
      <c r="C25" s="4"/>
      <c r="D25" s="4"/>
      <c r="E25" s="4"/>
      <c r="F25" s="4"/>
      <c r="G25" s="4"/>
      <c r="H25" s="33">
        <f t="shared" si="1"/>
        <v>0</v>
      </c>
      <c r="I25" s="33">
        <f t="shared" si="1"/>
        <v>0</v>
      </c>
      <c r="K25" s="1"/>
      <c r="L25" s="1"/>
      <c r="M25" s="1"/>
    </row>
    <row r="26" spans="1:13" ht="15">
      <c r="A26" s="3" t="s">
        <v>90</v>
      </c>
      <c r="B26" s="4">
        <v>455303</v>
      </c>
      <c r="C26" s="4">
        <v>475395</v>
      </c>
      <c r="D26" s="4"/>
      <c r="E26" s="4"/>
      <c r="F26" s="4"/>
      <c r="G26" s="4"/>
      <c r="H26" s="33">
        <f t="shared" si="1"/>
        <v>455303</v>
      </c>
      <c r="I26" s="33">
        <f t="shared" si="1"/>
        <v>475395</v>
      </c>
      <c r="K26" s="1"/>
      <c r="L26" s="1"/>
      <c r="M26" s="1"/>
    </row>
    <row r="27" spans="1:13" ht="15">
      <c r="A27" s="3" t="s">
        <v>91</v>
      </c>
      <c r="B27" s="4"/>
      <c r="C27" s="4"/>
      <c r="D27" s="4"/>
      <c r="E27" s="4"/>
      <c r="F27" s="4"/>
      <c r="G27" s="4"/>
      <c r="H27" s="33">
        <f t="shared" si="1"/>
        <v>0</v>
      </c>
      <c r="I27" s="33">
        <f t="shared" si="1"/>
        <v>0</v>
      </c>
      <c r="K27" s="1"/>
      <c r="L27" s="1"/>
      <c r="M27" s="1"/>
    </row>
    <row r="28" spans="1:13" ht="15">
      <c r="A28" s="3" t="s">
        <v>92</v>
      </c>
      <c r="B28" s="4">
        <v>23963</v>
      </c>
      <c r="C28" s="4">
        <v>25021</v>
      </c>
      <c r="D28" s="4"/>
      <c r="E28" s="4"/>
      <c r="F28" s="4"/>
      <c r="G28" s="4"/>
      <c r="H28" s="33">
        <f t="shared" si="1"/>
        <v>23963</v>
      </c>
      <c r="I28" s="33">
        <f t="shared" si="1"/>
        <v>25021</v>
      </c>
      <c r="K28" s="1"/>
      <c r="L28" s="1"/>
      <c r="M28" s="1"/>
    </row>
    <row r="29" spans="1:13" ht="15">
      <c r="A29" s="3"/>
      <c r="B29" s="83"/>
      <c r="C29" s="83"/>
      <c r="D29" s="4"/>
      <c r="E29" s="4"/>
      <c r="F29" s="4"/>
      <c r="G29" s="4"/>
      <c r="H29" s="33">
        <f t="shared" si="1"/>
        <v>0</v>
      </c>
      <c r="I29" s="33">
        <f t="shared" si="1"/>
        <v>0</v>
      </c>
      <c r="K29" s="1"/>
      <c r="L29" s="1"/>
      <c r="M29" s="1"/>
    </row>
    <row r="30" spans="1:13" ht="15">
      <c r="A30" s="11" t="s">
        <v>93</v>
      </c>
      <c r="B30" s="81">
        <f aca="true" t="shared" si="6" ref="B30:G30">SUM(B31:B32)</f>
        <v>0</v>
      </c>
      <c r="C30" s="81">
        <f t="shared" si="6"/>
        <v>0</v>
      </c>
      <c r="D30" s="12">
        <f t="shared" si="6"/>
        <v>0</v>
      </c>
      <c r="E30" s="12">
        <f t="shared" si="6"/>
        <v>0</v>
      </c>
      <c r="F30" s="12">
        <f t="shared" si="6"/>
        <v>0</v>
      </c>
      <c r="G30" s="12">
        <f t="shared" si="6"/>
        <v>0</v>
      </c>
      <c r="H30" s="88">
        <f t="shared" si="1"/>
        <v>0</v>
      </c>
      <c r="I30" s="88">
        <f t="shared" si="1"/>
        <v>0</v>
      </c>
      <c r="K30" s="1"/>
      <c r="L30" s="1"/>
      <c r="M30" s="1"/>
    </row>
    <row r="31" spans="1:13" ht="15">
      <c r="A31" s="3" t="s">
        <v>3</v>
      </c>
      <c r="B31" s="83"/>
      <c r="C31" s="83"/>
      <c r="D31" s="4"/>
      <c r="E31" s="4"/>
      <c r="F31" s="4"/>
      <c r="G31" s="4"/>
      <c r="H31" s="33">
        <f t="shared" si="1"/>
        <v>0</v>
      </c>
      <c r="I31" s="33">
        <f t="shared" si="1"/>
        <v>0</v>
      </c>
      <c r="K31" s="1"/>
      <c r="L31" s="1"/>
      <c r="M31" s="1"/>
    </row>
    <row r="32" spans="1:13" ht="15">
      <c r="A32" s="3" t="s">
        <v>72</v>
      </c>
      <c r="B32" s="83"/>
      <c r="C32" s="83"/>
      <c r="D32" s="4"/>
      <c r="E32" s="4"/>
      <c r="F32" s="4"/>
      <c r="G32" s="4"/>
      <c r="H32" s="33">
        <f t="shared" si="1"/>
        <v>0</v>
      </c>
      <c r="I32" s="33">
        <f t="shared" si="1"/>
        <v>0</v>
      </c>
      <c r="K32" s="1"/>
      <c r="L32" s="1"/>
      <c r="M32" s="1"/>
    </row>
    <row r="33" spans="1:13" ht="15">
      <c r="A33" s="3"/>
      <c r="B33" s="83"/>
      <c r="C33" s="83"/>
      <c r="D33" s="4"/>
      <c r="E33" s="4"/>
      <c r="F33" s="4"/>
      <c r="G33" s="4"/>
      <c r="H33" s="33">
        <f t="shared" si="1"/>
        <v>0</v>
      </c>
      <c r="I33" s="33">
        <f t="shared" si="1"/>
        <v>0</v>
      </c>
      <c r="K33" s="1"/>
      <c r="L33" s="1"/>
      <c r="M33" s="1"/>
    </row>
    <row r="34" spans="1:13" ht="15">
      <c r="A34" s="11" t="s">
        <v>95</v>
      </c>
      <c r="B34" s="81">
        <f aca="true" t="shared" si="7" ref="B34:G34">SUM(B35:B35)</f>
        <v>0</v>
      </c>
      <c r="C34" s="81">
        <f t="shared" si="7"/>
        <v>125982</v>
      </c>
      <c r="D34" s="12">
        <f t="shared" si="7"/>
        <v>0</v>
      </c>
      <c r="E34" s="12">
        <f t="shared" si="7"/>
        <v>0</v>
      </c>
      <c r="F34" s="12">
        <f t="shared" si="7"/>
        <v>0</v>
      </c>
      <c r="G34" s="12">
        <f t="shared" si="7"/>
        <v>0</v>
      </c>
      <c r="H34" s="88">
        <f t="shared" si="1"/>
        <v>0</v>
      </c>
      <c r="I34" s="88">
        <f t="shared" si="1"/>
        <v>125982</v>
      </c>
      <c r="K34" s="1"/>
      <c r="L34" s="1"/>
      <c r="M34" s="1"/>
    </row>
    <row r="35" spans="1:13" ht="15">
      <c r="A35" s="3" t="s">
        <v>96</v>
      </c>
      <c r="B35" s="83"/>
      <c r="C35" s="83">
        <v>125982</v>
      </c>
      <c r="D35" s="4">
        <v>0</v>
      </c>
      <c r="E35" s="4">
        <v>0</v>
      </c>
      <c r="F35" s="4"/>
      <c r="G35" s="4"/>
      <c r="H35" s="33">
        <f t="shared" si="1"/>
        <v>0</v>
      </c>
      <c r="I35" s="33">
        <f t="shared" si="1"/>
        <v>125982</v>
      </c>
      <c r="K35" s="1"/>
      <c r="L35" s="1"/>
      <c r="M35" s="1"/>
    </row>
    <row r="36" spans="1:13" ht="15">
      <c r="A36" s="3"/>
      <c r="B36" s="83"/>
      <c r="C36" s="83"/>
      <c r="D36" s="4"/>
      <c r="E36" s="4"/>
      <c r="F36" s="4"/>
      <c r="G36" s="4"/>
      <c r="H36" s="33">
        <f t="shared" si="1"/>
        <v>0</v>
      </c>
      <c r="I36" s="33">
        <f t="shared" si="1"/>
        <v>0</v>
      </c>
      <c r="K36" s="1"/>
      <c r="L36" s="1"/>
      <c r="M36" s="1"/>
    </row>
    <row r="37" spans="1:13" ht="15">
      <c r="A37" s="13" t="s">
        <v>97</v>
      </c>
      <c r="B37" s="82">
        <f aca="true" t="shared" si="8" ref="B37:G37">B22+B19+B16+B8+B5+B30+B34</f>
        <v>1104314</v>
      </c>
      <c r="C37" s="82">
        <f t="shared" si="8"/>
        <v>1287118</v>
      </c>
      <c r="D37" s="14">
        <f t="shared" si="8"/>
        <v>107557</v>
      </c>
      <c r="E37" s="14">
        <f t="shared" si="8"/>
        <v>147514</v>
      </c>
      <c r="F37" s="14">
        <f t="shared" si="8"/>
        <v>0</v>
      </c>
      <c r="G37" s="14">
        <f t="shared" si="8"/>
        <v>1977</v>
      </c>
      <c r="H37" s="90">
        <f t="shared" si="1"/>
        <v>1211871</v>
      </c>
      <c r="I37" s="90">
        <f t="shared" si="1"/>
        <v>1436609</v>
      </c>
      <c r="K37" s="1"/>
      <c r="L37" s="1"/>
      <c r="M37" s="1"/>
    </row>
    <row r="38" spans="1:13" ht="15">
      <c r="A38" s="3"/>
      <c r="B38" s="83"/>
      <c r="C38" s="83"/>
      <c r="D38" s="4"/>
      <c r="E38" s="4"/>
      <c r="F38" s="4"/>
      <c r="G38" s="4"/>
      <c r="H38" s="33">
        <f t="shared" si="1"/>
        <v>0</v>
      </c>
      <c r="I38" s="33">
        <f t="shared" si="1"/>
        <v>0</v>
      </c>
      <c r="K38" s="1"/>
      <c r="L38" s="1"/>
      <c r="M38" s="1"/>
    </row>
    <row r="39" spans="1:13" ht="15" customHeight="1">
      <c r="A39" s="130" t="s">
        <v>98</v>
      </c>
      <c r="B39" s="82">
        <f aca="true" t="shared" si="9" ref="B39:G39">B40+B43</f>
        <v>24962</v>
      </c>
      <c r="C39" s="82">
        <f t="shared" si="9"/>
        <v>18753</v>
      </c>
      <c r="D39" s="14">
        <f t="shared" si="9"/>
        <v>0</v>
      </c>
      <c r="E39" s="14">
        <f t="shared" si="9"/>
        <v>635</v>
      </c>
      <c r="F39" s="14">
        <f t="shared" si="9"/>
        <v>759</v>
      </c>
      <c r="G39" s="14">
        <f t="shared" si="9"/>
        <v>2537</v>
      </c>
      <c r="H39" s="90">
        <f t="shared" si="1"/>
        <v>25721</v>
      </c>
      <c r="I39" s="90">
        <f t="shared" si="1"/>
        <v>21925</v>
      </c>
      <c r="K39" s="1"/>
      <c r="L39" s="1"/>
      <c r="M39" s="1"/>
    </row>
    <row r="40" spans="1:13" ht="15">
      <c r="A40" s="6" t="s">
        <v>5</v>
      </c>
      <c r="B40" s="80">
        <f aca="true" t="shared" si="10" ref="B40:G40">SUM(B41:B42)</f>
        <v>24962</v>
      </c>
      <c r="C40" s="80">
        <f t="shared" si="10"/>
        <v>18753</v>
      </c>
      <c r="D40" s="7">
        <f t="shared" si="10"/>
        <v>0</v>
      </c>
      <c r="E40" s="7">
        <f t="shared" si="10"/>
        <v>635</v>
      </c>
      <c r="F40" s="7">
        <f t="shared" si="10"/>
        <v>759</v>
      </c>
      <c r="G40" s="7">
        <f t="shared" si="10"/>
        <v>2537</v>
      </c>
      <c r="H40" s="89">
        <f t="shared" si="1"/>
        <v>25721</v>
      </c>
      <c r="I40" s="89">
        <f t="shared" si="1"/>
        <v>21925</v>
      </c>
      <c r="K40" s="1"/>
      <c r="L40" s="1"/>
      <c r="M40" s="1"/>
    </row>
    <row r="41" spans="1:13" ht="15">
      <c r="A41" s="3" t="s">
        <v>6</v>
      </c>
      <c r="B41" s="97">
        <v>24962</v>
      </c>
      <c r="C41" s="97">
        <v>18753</v>
      </c>
      <c r="D41" s="62"/>
      <c r="E41" s="62">
        <v>635</v>
      </c>
      <c r="F41" s="62">
        <v>759</v>
      </c>
      <c r="G41" s="62">
        <v>2537</v>
      </c>
      <c r="H41" s="33">
        <f t="shared" si="1"/>
        <v>25721</v>
      </c>
      <c r="I41" s="33">
        <f t="shared" si="1"/>
        <v>21925</v>
      </c>
      <c r="K41" s="1"/>
      <c r="L41" s="1"/>
      <c r="M41" s="1"/>
    </row>
    <row r="42" spans="1:13" ht="15">
      <c r="A42" s="3" t="s">
        <v>7</v>
      </c>
      <c r="B42" s="83"/>
      <c r="C42" s="83"/>
      <c r="D42" s="4">
        <v>0</v>
      </c>
      <c r="E42" s="4">
        <v>0</v>
      </c>
      <c r="F42" s="4"/>
      <c r="G42" s="4"/>
      <c r="H42" s="33">
        <f t="shared" si="1"/>
        <v>0</v>
      </c>
      <c r="I42" s="33">
        <f t="shared" si="1"/>
        <v>0</v>
      </c>
      <c r="K42" s="1"/>
      <c r="L42" s="1"/>
      <c r="M42" s="1"/>
    </row>
    <row r="43" spans="1:13" ht="15">
      <c r="A43" s="6" t="s">
        <v>8</v>
      </c>
      <c r="B43" s="80">
        <f aca="true" t="shared" si="11" ref="B43:G43">SUM(B44:B45)</f>
        <v>0</v>
      </c>
      <c r="C43" s="80">
        <f t="shared" si="11"/>
        <v>0</v>
      </c>
      <c r="D43" s="7">
        <f t="shared" si="11"/>
        <v>0</v>
      </c>
      <c r="E43" s="7">
        <f t="shared" si="11"/>
        <v>0</v>
      </c>
      <c r="F43" s="7">
        <f t="shared" si="11"/>
        <v>0</v>
      </c>
      <c r="G43" s="7">
        <f t="shared" si="11"/>
        <v>0</v>
      </c>
      <c r="H43" s="89">
        <f t="shared" si="1"/>
        <v>0</v>
      </c>
      <c r="I43" s="89">
        <f t="shared" si="1"/>
        <v>0</v>
      </c>
      <c r="K43" s="1"/>
      <c r="L43" s="1"/>
      <c r="M43" s="1"/>
    </row>
    <row r="44" spans="1:13" ht="15">
      <c r="A44" s="3" t="s">
        <v>9</v>
      </c>
      <c r="B44" s="83"/>
      <c r="C44" s="83"/>
      <c r="D44" s="4">
        <v>0</v>
      </c>
      <c r="E44" s="4">
        <v>0</v>
      </c>
      <c r="F44" s="4"/>
      <c r="G44" s="4"/>
      <c r="H44" s="33">
        <f t="shared" si="1"/>
        <v>0</v>
      </c>
      <c r="I44" s="33">
        <f t="shared" si="1"/>
        <v>0</v>
      </c>
      <c r="K44" s="1"/>
      <c r="L44" s="1"/>
      <c r="M44" s="1"/>
    </row>
    <row r="45" spans="1:13" ht="15">
      <c r="A45" s="3" t="s">
        <v>10</v>
      </c>
      <c r="B45" s="83"/>
      <c r="C45" s="83"/>
      <c r="D45" s="4">
        <v>0</v>
      </c>
      <c r="E45" s="4">
        <v>0</v>
      </c>
      <c r="F45" s="4"/>
      <c r="G45" s="4"/>
      <c r="H45" s="33">
        <f t="shared" si="1"/>
        <v>0</v>
      </c>
      <c r="I45" s="33">
        <f t="shared" si="1"/>
        <v>0</v>
      </c>
      <c r="K45" s="1"/>
      <c r="L45" s="1"/>
      <c r="M45" s="1"/>
    </row>
    <row r="46" spans="1:13" ht="15">
      <c r="A46" s="130" t="s">
        <v>123</v>
      </c>
      <c r="B46" s="131">
        <f>B47+B48</f>
        <v>135112</v>
      </c>
      <c r="C46" s="131">
        <f aca="true" t="shared" si="12" ref="C46:I46">C47+C48</f>
        <v>0</v>
      </c>
      <c r="D46" s="131">
        <f t="shared" si="12"/>
        <v>0</v>
      </c>
      <c r="E46" s="131">
        <f t="shared" si="12"/>
        <v>0</v>
      </c>
      <c r="F46" s="131">
        <f t="shared" si="12"/>
        <v>0</v>
      </c>
      <c r="G46" s="131">
        <f t="shared" si="12"/>
        <v>0</v>
      </c>
      <c r="H46" s="131">
        <f t="shared" si="12"/>
        <v>135112</v>
      </c>
      <c r="I46" s="131">
        <f t="shared" si="12"/>
        <v>0</v>
      </c>
      <c r="K46" s="1"/>
      <c r="L46" s="1"/>
      <c r="M46" s="1"/>
    </row>
    <row r="47" spans="1:13" ht="15">
      <c r="A47" s="6" t="s">
        <v>124</v>
      </c>
      <c r="B47" s="83"/>
      <c r="C47" s="83"/>
      <c r="D47" s="4"/>
      <c r="E47" s="4"/>
      <c r="F47" s="4"/>
      <c r="G47" s="4"/>
      <c r="H47" s="33"/>
      <c r="I47" s="33"/>
      <c r="K47" s="1"/>
      <c r="L47" s="1"/>
      <c r="M47" s="1"/>
    </row>
    <row r="48" spans="1:13" ht="15">
      <c r="A48" s="6" t="s">
        <v>125</v>
      </c>
      <c r="B48" s="83">
        <v>135112</v>
      </c>
      <c r="C48" s="83"/>
      <c r="D48" s="4"/>
      <c r="E48" s="4"/>
      <c r="F48" s="4"/>
      <c r="G48" s="4"/>
      <c r="H48" s="33">
        <f t="shared" si="1"/>
        <v>135112</v>
      </c>
      <c r="I48" s="33">
        <f t="shared" si="1"/>
        <v>0</v>
      </c>
      <c r="K48" s="1"/>
      <c r="L48" s="1"/>
      <c r="M48" s="1"/>
    </row>
    <row r="49" spans="1:13" ht="15.75" thickBot="1">
      <c r="A49" s="91" t="s">
        <v>11</v>
      </c>
      <c r="B49" s="92">
        <f>B39+B37+B46</f>
        <v>1264388</v>
      </c>
      <c r="C49" s="92">
        <f aca="true" t="shared" si="13" ref="C49:I49">C39+C37+C46</f>
        <v>1305871</v>
      </c>
      <c r="D49" s="92">
        <f t="shared" si="13"/>
        <v>107557</v>
      </c>
      <c r="E49" s="92">
        <f t="shared" si="13"/>
        <v>148149</v>
      </c>
      <c r="F49" s="92">
        <f t="shared" si="13"/>
        <v>759</v>
      </c>
      <c r="G49" s="135">
        <f t="shared" si="13"/>
        <v>4514</v>
      </c>
      <c r="H49" s="136">
        <f t="shared" si="13"/>
        <v>1372704</v>
      </c>
      <c r="I49" s="136">
        <f t="shared" si="13"/>
        <v>1458534</v>
      </c>
      <c r="K49" s="1"/>
      <c r="L49" s="1"/>
      <c r="M49" s="1"/>
    </row>
    <row r="50" spans="1:9" ht="15.75" thickBot="1">
      <c r="A50" s="93" t="s">
        <v>50</v>
      </c>
      <c r="B50" s="94"/>
      <c r="C50" s="94"/>
      <c r="D50" s="95"/>
      <c r="E50" s="95"/>
      <c r="F50" s="95"/>
      <c r="G50" s="132"/>
      <c r="H50" s="133"/>
      <c r="I50" s="134"/>
    </row>
  </sheetData>
  <sheetProtection/>
  <printOptions/>
  <pageMargins left="0.7" right="0.7" top="0.75" bottom="0.75" header="0.3" footer="0.3"/>
  <pageSetup horizontalDpi="600" verticalDpi="600" orientation="portrait" paperSize="9" scale="37" r:id="rId2"/>
  <headerFooter>
    <oddHeader>&amp;L&amp;G&amp;C.../2016 (IV.26.) számú határozat
a Marcali Kistérségi Többcélú Társulás
2015. évi költségvetésének módosításáról</oddHeader>
    <oddFooter>&amp;C&amp;P. oldal</oddFooter>
  </headerFooter>
  <colBreaks count="1" manualBreakCount="1">
    <brk id="9" max="65535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B2:I7"/>
  <sheetViews>
    <sheetView workbookViewId="0" topLeftCell="A1">
      <selection activeCell="I24" sqref="I24"/>
    </sheetView>
  </sheetViews>
  <sheetFormatPr defaultColWidth="9.140625" defaultRowHeight="15"/>
  <cols>
    <col min="3" max="3" width="26.28125" style="0" customWidth="1"/>
    <col min="4" max="4" width="13.8515625" style="0" customWidth="1"/>
    <col min="5" max="5" width="14.28125" style="0" customWidth="1"/>
    <col min="6" max="6" width="11.00390625" style="0" customWidth="1"/>
    <col min="7" max="7" width="11.28125" style="0" customWidth="1"/>
    <col min="8" max="8" width="12.28125" style="0" customWidth="1"/>
    <col min="9" max="9" width="12.7109375" style="0" customWidth="1"/>
  </cols>
  <sheetData>
    <row r="2" spans="2:6" ht="15.75" thickBot="1">
      <c r="B2" s="2" t="s">
        <v>159</v>
      </c>
      <c r="F2" s="161" t="s">
        <v>151</v>
      </c>
    </row>
    <row r="3" spans="2:9" ht="51">
      <c r="B3" s="151" t="s">
        <v>160</v>
      </c>
      <c r="C3" s="159" t="s">
        <v>161</v>
      </c>
      <c r="D3" s="159" t="s">
        <v>152</v>
      </c>
      <c r="E3" s="159" t="s">
        <v>162</v>
      </c>
      <c r="F3" s="160" t="s">
        <v>153</v>
      </c>
      <c r="G3" s="159" t="s">
        <v>154</v>
      </c>
      <c r="H3" s="159" t="s">
        <v>163</v>
      </c>
      <c r="I3" s="160" t="s">
        <v>155</v>
      </c>
    </row>
    <row r="4" spans="2:9" ht="25.5">
      <c r="B4" s="39" t="s">
        <v>140</v>
      </c>
      <c r="C4" s="16" t="s">
        <v>164</v>
      </c>
      <c r="D4" s="152">
        <v>1</v>
      </c>
      <c r="E4" s="152">
        <v>0</v>
      </c>
      <c r="F4" s="153">
        <f>SUM(D4:E4)</f>
        <v>1</v>
      </c>
      <c r="G4" s="152">
        <v>1</v>
      </c>
      <c r="H4" s="152"/>
      <c r="I4" s="153">
        <f>SUM(G4:H4)</f>
        <v>1</v>
      </c>
    </row>
    <row r="5" spans="2:9" ht="25.5">
      <c r="B5" s="39" t="s">
        <v>142</v>
      </c>
      <c r="C5" s="16" t="s">
        <v>146</v>
      </c>
      <c r="D5" s="152">
        <v>69</v>
      </c>
      <c r="E5" s="152"/>
      <c r="F5" s="153">
        <f>SUM(D5:E5)</f>
        <v>69</v>
      </c>
      <c r="G5" s="152">
        <v>63</v>
      </c>
      <c r="H5" s="152"/>
      <c r="I5" s="153">
        <f>SUM(G5:H5)</f>
        <v>63</v>
      </c>
    </row>
    <row r="6" spans="2:9" ht="15">
      <c r="B6" s="147" t="s">
        <v>144</v>
      </c>
      <c r="C6" s="142" t="s">
        <v>150</v>
      </c>
      <c r="D6" s="158">
        <v>71</v>
      </c>
      <c r="E6" s="158"/>
      <c r="F6" s="146">
        <v>71</v>
      </c>
      <c r="G6" s="158">
        <v>69</v>
      </c>
      <c r="H6" s="158"/>
      <c r="I6" s="153">
        <f>SUM(G6:H6)</f>
        <v>69</v>
      </c>
    </row>
    <row r="7" spans="2:9" ht="15.75" thickBot="1">
      <c r="B7" s="154"/>
      <c r="C7" s="45" t="s">
        <v>156</v>
      </c>
      <c r="D7" s="155">
        <f aca="true" t="shared" si="0" ref="D7:I7">SUM(D4:D6)</f>
        <v>141</v>
      </c>
      <c r="E7" s="155">
        <f t="shared" si="0"/>
        <v>0</v>
      </c>
      <c r="F7" s="155">
        <f t="shared" si="0"/>
        <v>141</v>
      </c>
      <c r="G7" s="155">
        <f t="shared" si="0"/>
        <v>133</v>
      </c>
      <c r="H7" s="155">
        <f t="shared" si="0"/>
        <v>0</v>
      </c>
      <c r="I7" s="155">
        <f t="shared" si="0"/>
        <v>133</v>
      </c>
    </row>
  </sheetData>
  <sheetProtection/>
  <printOptions/>
  <pageMargins left="0.7" right="0.7" top="0.75" bottom="0.75" header="0.3" footer="0.3"/>
  <pageSetup horizontalDpi="600" verticalDpi="600" orientation="landscape" paperSize="9" r:id="rId2"/>
  <headerFooter>
    <oddHeader>&amp;L&amp;G&amp;C.../2016 (IV.26.) számú határozat
a Marcali Kistérségi Többcélú Társulás
2015. évi költségvetésének módosításáról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3:I9"/>
  <sheetViews>
    <sheetView workbookViewId="0" topLeftCell="A1">
      <selection activeCell="E2" sqref="E2:F2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5" width="12.00390625" style="0" customWidth="1"/>
    <col min="6" max="6" width="22.28125" style="0" customWidth="1"/>
    <col min="7" max="7" width="10.8515625" style="0" customWidth="1"/>
    <col min="8" max="8" width="11.140625" style="0" customWidth="1"/>
    <col min="9" max="9" width="29.7109375" style="0" customWidth="1"/>
  </cols>
  <sheetData>
    <row r="3" spans="1:6" ht="15">
      <c r="A3" s="138" t="s">
        <v>157</v>
      </c>
      <c r="B3" s="138"/>
      <c r="C3" s="138"/>
      <c r="D3" s="138"/>
      <c r="E3" s="138"/>
      <c r="F3" s="139" t="s">
        <v>16</v>
      </c>
    </row>
    <row r="4" spans="1:6" ht="15.75" thickBot="1">
      <c r="A4" s="138"/>
      <c r="B4" s="138"/>
      <c r="C4" s="138"/>
      <c r="D4" s="138"/>
      <c r="E4" s="138"/>
      <c r="F4" s="139"/>
    </row>
    <row r="5" spans="1:9" ht="15" customHeight="1">
      <c r="A5" s="140" t="s">
        <v>130</v>
      </c>
      <c r="B5" s="211" t="s">
        <v>131</v>
      </c>
      <c r="C5" s="211" t="s">
        <v>132</v>
      </c>
      <c r="D5" s="211" t="s">
        <v>133</v>
      </c>
      <c r="E5" s="211" t="s">
        <v>134</v>
      </c>
      <c r="F5" s="211" t="s">
        <v>135</v>
      </c>
      <c r="G5" s="211" t="s">
        <v>136</v>
      </c>
      <c r="H5" s="211" t="s">
        <v>137</v>
      </c>
      <c r="I5" s="213" t="s">
        <v>138</v>
      </c>
    </row>
    <row r="6" spans="1:9" ht="51.75" customHeight="1">
      <c r="A6" s="141" t="s">
        <v>139</v>
      </c>
      <c r="B6" s="212"/>
      <c r="C6" s="212"/>
      <c r="D6" s="212"/>
      <c r="E6" s="212"/>
      <c r="F6" s="212"/>
      <c r="G6" s="212"/>
      <c r="H6" s="212"/>
      <c r="I6" s="214"/>
    </row>
    <row r="7" spans="1:9" ht="37.5" customHeight="1">
      <c r="A7" s="147" t="s">
        <v>140</v>
      </c>
      <c r="B7" s="142" t="s">
        <v>141</v>
      </c>
      <c r="C7" s="145">
        <v>635528</v>
      </c>
      <c r="D7" s="145">
        <v>0</v>
      </c>
      <c r="E7" s="145">
        <v>635528</v>
      </c>
      <c r="F7" s="145">
        <v>633366</v>
      </c>
      <c r="G7" s="145">
        <v>0</v>
      </c>
      <c r="H7" s="145">
        <v>633366</v>
      </c>
      <c r="I7" s="146" t="s">
        <v>165</v>
      </c>
    </row>
    <row r="8" spans="1:9" ht="26.25" customHeight="1">
      <c r="A8" s="147" t="s">
        <v>142</v>
      </c>
      <c r="B8" s="142" t="s">
        <v>262</v>
      </c>
      <c r="C8" s="143">
        <v>197</v>
      </c>
      <c r="D8" s="144"/>
      <c r="E8" s="144">
        <v>197</v>
      </c>
      <c r="F8" s="152">
        <v>197</v>
      </c>
      <c r="G8" s="152"/>
      <c r="H8" s="152">
        <v>197</v>
      </c>
      <c r="I8" s="156" t="s">
        <v>263</v>
      </c>
    </row>
    <row r="9" spans="1:9" ht="15.75" thickBot="1">
      <c r="A9" s="52"/>
      <c r="B9" s="45" t="s">
        <v>145</v>
      </c>
      <c r="C9" s="148">
        <f aca="true" t="shared" si="0" ref="C9:H9">SUM(C7:C8)</f>
        <v>635725</v>
      </c>
      <c r="D9" s="148">
        <f t="shared" si="0"/>
        <v>0</v>
      </c>
      <c r="E9" s="148">
        <f t="shared" si="0"/>
        <v>635725</v>
      </c>
      <c r="F9" s="148">
        <f t="shared" si="0"/>
        <v>633563</v>
      </c>
      <c r="G9" s="148">
        <f t="shared" si="0"/>
        <v>0</v>
      </c>
      <c r="H9" s="148">
        <f t="shared" si="0"/>
        <v>633563</v>
      </c>
      <c r="I9" s="157"/>
    </row>
  </sheetData>
  <sheetProtection/>
  <mergeCells count="8">
    <mergeCell ref="H5:H6"/>
    <mergeCell ref="I5:I6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scale="89" r:id="rId2"/>
  <headerFooter>
    <oddHeader>&amp;L&amp;G&amp;C.../2016 (IV.26.) számú határozat
a Marcali Kistérségi Többcélú Társulás
2015. évi költségvetésének módosításáról</oddHeader>
    <oddFooter>&amp;C&amp;P. oldal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M26"/>
  <sheetViews>
    <sheetView workbookViewId="0" topLeftCell="A1">
      <selection activeCell="A1" sqref="A1"/>
    </sheetView>
  </sheetViews>
  <sheetFormatPr defaultColWidth="9.140625" defaultRowHeight="15"/>
  <cols>
    <col min="1" max="1" width="40.7109375" style="0" customWidth="1"/>
    <col min="2" max="5" width="17.28125" style="0" customWidth="1"/>
    <col min="6" max="9" width="18.140625" style="0" customWidth="1"/>
  </cols>
  <sheetData>
    <row r="2" spans="1:9" ht="15.75" thickBot="1">
      <c r="A2" s="2" t="s">
        <v>41</v>
      </c>
      <c r="B2" s="2"/>
      <c r="C2" s="2"/>
      <c r="D2" s="2"/>
      <c r="E2" s="2"/>
      <c r="F2" s="2"/>
      <c r="G2" s="2"/>
      <c r="H2" s="2"/>
      <c r="I2" s="2"/>
    </row>
    <row r="3" spans="1:9" ht="67.5" customHeight="1">
      <c r="A3" s="46" t="s">
        <v>39</v>
      </c>
      <c r="B3" s="41" t="s">
        <v>114</v>
      </c>
      <c r="C3" s="86" t="s">
        <v>122</v>
      </c>
      <c r="D3" s="86" t="s">
        <v>115</v>
      </c>
      <c r="E3" s="86" t="s">
        <v>121</v>
      </c>
      <c r="F3" s="41" t="s">
        <v>116</v>
      </c>
      <c r="G3" s="122" t="s">
        <v>120</v>
      </c>
      <c r="H3" s="87" t="s">
        <v>117</v>
      </c>
      <c r="I3" s="123" t="s">
        <v>119</v>
      </c>
    </row>
    <row r="4" spans="1:13" ht="15">
      <c r="A4" s="18" t="s">
        <v>18</v>
      </c>
      <c r="B4" s="12">
        <f aca="true" t="shared" si="0" ref="B4:G4">SUM(B5:B11)-B8</f>
        <v>142151</v>
      </c>
      <c r="C4" s="12">
        <f t="shared" si="0"/>
        <v>196029</v>
      </c>
      <c r="D4" s="12">
        <f t="shared" si="0"/>
        <v>302200</v>
      </c>
      <c r="E4" s="12">
        <f t="shared" si="0"/>
        <v>341840</v>
      </c>
      <c r="F4" s="12">
        <f t="shared" si="0"/>
        <v>265626</v>
      </c>
      <c r="G4" s="12">
        <f t="shared" si="0"/>
        <v>272220</v>
      </c>
      <c r="H4" s="125">
        <f aca="true" t="shared" si="1" ref="H4:I7">B4+D4+F4</f>
        <v>709977</v>
      </c>
      <c r="I4" s="117">
        <f t="shared" si="1"/>
        <v>810089</v>
      </c>
      <c r="K4" s="1"/>
      <c r="L4" s="1"/>
      <c r="M4" s="1"/>
    </row>
    <row r="5" spans="1:13" ht="15">
      <c r="A5" s="16" t="s">
        <v>13</v>
      </c>
      <c r="B5" s="4">
        <v>75433</v>
      </c>
      <c r="C5" s="4">
        <v>79063</v>
      </c>
      <c r="D5" s="84">
        <v>148438</v>
      </c>
      <c r="E5" s="84">
        <v>157387</v>
      </c>
      <c r="F5" s="4">
        <v>183527</v>
      </c>
      <c r="G5" s="4">
        <v>186297</v>
      </c>
      <c r="H5" s="126">
        <f t="shared" si="1"/>
        <v>407398</v>
      </c>
      <c r="I5" s="5">
        <f t="shared" si="1"/>
        <v>422747</v>
      </c>
      <c r="K5" s="1"/>
      <c r="L5" s="1"/>
      <c r="M5" s="1"/>
    </row>
    <row r="6" spans="1:13" ht="25.5">
      <c r="A6" s="16" t="s">
        <v>60</v>
      </c>
      <c r="B6" s="4">
        <v>10458</v>
      </c>
      <c r="C6" s="4">
        <v>11353</v>
      </c>
      <c r="D6" s="84">
        <v>40398</v>
      </c>
      <c r="E6" s="84">
        <v>40712</v>
      </c>
      <c r="F6" s="4">
        <v>51408</v>
      </c>
      <c r="G6" s="4">
        <f>49474+1633</f>
        <v>51107</v>
      </c>
      <c r="H6" s="126">
        <f t="shared" si="1"/>
        <v>102264</v>
      </c>
      <c r="I6" s="5">
        <f t="shared" si="1"/>
        <v>103172</v>
      </c>
      <c r="K6" s="1"/>
      <c r="L6" s="1"/>
      <c r="M6" s="1"/>
    </row>
    <row r="7" spans="1:13" ht="15">
      <c r="A7" s="16" t="s">
        <v>15</v>
      </c>
      <c r="B7" s="4">
        <v>39601</v>
      </c>
      <c r="C7" s="4">
        <v>47641</v>
      </c>
      <c r="D7" s="84">
        <v>113114</v>
      </c>
      <c r="E7" s="84">
        <v>113491</v>
      </c>
      <c r="F7" s="4">
        <v>30691</v>
      </c>
      <c r="G7" s="4">
        <f>34548+268</f>
        <v>34816</v>
      </c>
      <c r="H7" s="126">
        <f t="shared" si="1"/>
        <v>183406</v>
      </c>
      <c r="I7" s="5">
        <f t="shared" si="1"/>
        <v>195948</v>
      </c>
      <c r="K7" s="1"/>
      <c r="L7" s="1"/>
      <c r="M7" s="1"/>
    </row>
    <row r="8" spans="1:13" ht="15">
      <c r="A8" s="16" t="s">
        <v>56</v>
      </c>
      <c r="B8" s="20">
        <f aca="true" t="shared" si="2" ref="B8:I8">SUM(B9:B10)</f>
        <v>16659</v>
      </c>
      <c r="C8" s="20">
        <f t="shared" si="2"/>
        <v>57972</v>
      </c>
      <c r="D8" s="20">
        <f t="shared" si="2"/>
        <v>0</v>
      </c>
      <c r="E8" s="20">
        <f t="shared" si="2"/>
        <v>30000</v>
      </c>
      <c r="F8" s="20">
        <f t="shared" si="2"/>
        <v>0</v>
      </c>
      <c r="G8" s="20">
        <f t="shared" si="2"/>
        <v>0</v>
      </c>
      <c r="H8" s="126">
        <f t="shared" si="2"/>
        <v>16659</v>
      </c>
      <c r="I8" s="5">
        <f t="shared" si="2"/>
        <v>87972</v>
      </c>
      <c r="K8" s="1"/>
      <c r="L8" s="1"/>
      <c r="M8" s="1"/>
    </row>
    <row r="9" spans="1:13" ht="18" customHeight="1">
      <c r="A9" s="99" t="s">
        <v>57</v>
      </c>
      <c r="B9" s="7">
        <v>15509</v>
      </c>
      <c r="C9" s="7">
        <v>53822</v>
      </c>
      <c r="D9" s="7"/>
      <c r="E9" s="7">
        <v>30000</v>
      </c>
      <c r="F9" s="7"/>
      <c r="G9" s="7"/>
      <c r="H9" s="127">
        <f aca="true" t="shared" si="3" ref="H9:I15">B9+D9+F9</f>
        <v>15509</v>
      </c>
      <c r="I9" s="124">
        <f t="shared" si="3"/>
        <v>83822</v>
      </c>
      <c r="K9" s="1"/>
      <c r="L9" s="1"/>
      <c r="M9" s="1"/>
    </row>
    <row r="10" spans="1:13" ht="15">
      <c r="A10" s="17" t="s">
        <v>58</v>
      </c>
      <c r="B10" s="7">
        <v>1150</v>
      </c>
      <c r="C10" s="7">
        <v>4150</v>
      </c>
      <c r="D10" s="7"/>
      <c r="E10" s="7"/>
      <c r="F10" s="7"/>
      <c r="G10" s="7"/>
      <c r="H10" s="127">
        <f t="shared" si="3"/>
        <v>1150</v>
      </c>
      <c r="I10" s="124">
        <f t="shared" si="3"/>
        <v>4150</v>
      </c>
      <c r="K10" s="1"/>
      <c r="L10" s="1"/>
      <c r="M10" s="1"/>
    </row>
    <row r="11" spans="1:13" ht="15">
      <c r="A11" s="16" t="s">
        <v>59</v>
      </c>
      <c r="B11" s="20"/>
      <c r="C11" s="20"/>
      <c r="D11" s="4">
        <v>250</v>
      </c>
      <c r="E11" s="4">
        <v>250</v>
      </c>
      <c r="F11" s="4"/>
      <c r="G11" s="4"/>
      <c r="H11" s="126">
        <f t="shared" si="3"/>
        <v>250</v>
      </c>
      <c r="I11" s="5">
        <f t="shared" si="3"/>
        <v>250</v>
      </c>
      <c r="K11" s="1"/>
      <c r="L11" s="1"/>
      <c r="M11" s="1"/>
    </row>
    <row r="12" spans="1:13" ht="15">
      <c r="A12" s="16"/>
      <c r="B12" s="20"/>
      <c r="C12" s="20"/>
      <c r="D12" s="4"/>
      <c r="E12" s="4"/>
      <c r="F12" s="4"/>
      <c r="G12" s="4"/>
      <c r="H12" s="126">
        <f t="shared" si="3"/>
        <v>0</v>
      </c>
      <c r="I12" s="5">
        <f t="shared" si="3"/>
        <v>0</v>
      </c>
      <c r="K12" s="1"/>
      <c r="L12" s="1"/>
      <c r="M12" s="1"/>
    </row>
    <row r="13" spans="1:13" ht="15">
      <c r="A13" s="18" t="s">
        <v>23</v>
      </c>
      <c r="B13" s="12">
        <f aca="true" t="shared" si="4" ref="B13:G13">SUM(B14:B18)-B16</f>
        <v>616478</v>
      </c>
      <c r="C13" s="12">
        <f t="shared" si="4"/>
        <v>606473</v>
      </c>
      <c r="D13" s="12">
        <f t="shared" si="4"/>
        <v>6296</v>
      </c>
      <c r="E13" s="12">
        <f t="shared" si="4"/>
        <v>7248</v>
      </c>
      <c r="F13" s="12">
        <f t="shared" si="4"/>
        <v>0</v>
      </c>
      <c r="G13" s="12">
        <f t="shared" si="4"/>
        <v>0</v>
      </c>
      <c r="H13" s="125">
        <f t="shared" si="3"/>
        <v>622774</v>
      </c>
      <c r="I13" s="117">
        <f t="shared" si="3"/>
        <v>613721</v>
      </c>
      <c r="K13" s="1"/>
      <c r="L13" s="1"/>
      <c r="M13" s="1"/>
    </row>
    <row r="14" spans="1:13" ht="15">
      <c r="A14" s="16" t="s">
        <v>61</v>
      </c>
      <c r="B14" s="4">
        <v>616478</v>
      </c>
      <c r="C14" s="4">
        <v>606473</v>
      </c>
      <c r="D14" s="4">
        <v>4296</v>
      </c>
      <c r="E14" s="4">
        <v>5248</v>
      </c>
      <c r="F14" s="4"/>
      <c r="G14" s="4"/>
      <c r="H14" s="126">
        <f t="shared" si="3"/>
        <v>620774</v>
      </c>
      <c r="I14" s="5">
        <f t="shared" si="3"/>
        <v>611721</v>
      </c>
      <c r="K14" s="1"/>
      <c r="L14" s="1"/>
      <c r="M14" s="1"/>
    </row>
    <row r="15" spans="1:13" ht="15">
      <c r="A15" s="16" t="s">
        <v>64</v>
      </c>
      <c r="B15" s="4"/>
      <c r="C15" s="4"/>
      <c r="D15" s="4">
        <v>2000</v>
      </c>
      <c r="E15" s="4">
        <v>2000</v>
      </c>
      <c r="F15" s="4"/>
      <c r="G15" s="4"/>
      <c r="H15" s="126">
        <f t="shared" si="3"/>
        <v>2000</v>
      </c>
      <c r="I15" s="5">
        <f t="shared" si="3"/>
        <v>2000</v>
      </c>
      <c r="K15" s="1"/>
      <c r="L15" s="1"/>
      <c r="M15" s="1"/>
    </row>
    <row r="16" spans="1:13" ht="15">
      <c r="A16" s="16" t="s">
        <v>65</v>
      </c>
      <c r="B16" s="4">
        <f aca="true" t="shared" si="5" ref="B16:G16">SUM(B17:B18)</f>
        <v>0</v>
      </c>
      <c r="C16" s="4">
        <f t="shared" si="5"/>
        <v>0</v>
      </c>
      <c r="D16" s="4">
        <f t="shared" si="5"/>
        <v>0</v>
      </c>
      <c r="E16" s="4">
        <f t="shared" si="5"/>
        <v>0</v>
      </c>
      <c r="F16" s="4">
        <f t="shared" si="5"/>
        <v>0</v>
      </c>
      <c r="G16" s="4">
        <f t="shared" si="5"/>
        <v>0</v>
      </c>
      <c r="H16" s="126">
        <f>B16+D16</f>
        <v>0</v>
      </c>
      <c r="I16" s="5">
        <f>C16+E16</f>
        <v>0</v>
      </c>
      <c r="K16" s="1"/>
      <c r="L16" s="1"/>
      <c r="M16" s="1"/>
    </row>
    <row r="17" spans="1:13" ht="15">
      <c r="A17" s="17" t="s">
        <v>62</v>
      </c>
      <c r="B17" s="34"/>
      <c r="C17" s="34"/>
      <c r="D17" s="7">
        <v>0</v>
      </c>
      <c r="E17" s="7">
        <v>0</v>
      </c>
      <c r="F17" s="7"/>
      <c r="G17" s="7"/>
      <c r="H17" s="127">
        <f aca="true" t="shared" si="6" ref="H17:I21">B17+D17+F17</f>
        <v>0</v>
      </c>
      <c r="I17" s="124">
        <f t="shared" si="6"/>
        <v>0</v>
      </c>
      <c r="K17" s="1"/>
      <c r="L17" s="1"/>
      <c r="M17" s="1"/>
    </row>
    <row r="18" spans="1:13" ht="18" customHeight="1">
      <c r="A18" s="17" t="s">
        <v>63</v>
      </c>
      <c r="B18" s="34"/>
      <c r="C18" s="34"/>
      <c r="D18" s="7"/>
      <c r="E18" s="7"/>
      <c r="F18" s="7"/>
      <c r="G18" s="7"/>
      <c r="H18" s="127">
        <f t="shared" si="6"/>
        <v>0</v>
      </c>
      <c r="I18" s="124">
        <f t="shared" si="6"/>
        <v>0</v>
      </c>
      <c r="K18" s="1"/>
      <c r="L18" s="1"/>
      <c r="M18" s="1"/>
    </row>
    <row r="19" spans="1:13" ht="15">
      <c r="A19" s="18" t="s">
        <v>104</v>
      </c>
      <c r="B19" s="12">
        <v>7420</v>
      </c>
      <c r="C19" s="12">
        <f>1942+249</f>
        <v>2191</v>
      </c>
      <c r="D19" s="12"/>
      <c r="E19" s="12"/>
      <c r="F19" s="12"/>
      <c r="G19" s="12"/>
      <c r="H19" s="125">
        <f t="shared" si="6"/>
        <v>7420</v>
      </c>
      <c r="I19" s="117">
        <f t="shared" si="6"/>
        <v>2191</v>
      </c>
      <c r="K19" s="1"/>
      <c r="L19" s="1"/>
      <c r="M19" s="1"/>
    </row>
    <row r="20" spans="1:13" ht="15">
      <c r="A20" s="18" t="s">
        <v>105</v>
      </c>
      <c r="B20" s="12">
        <v>32533</v>
      </c>
      <c r="C20" s="12">
        <v>32533</v>
      </c>
      <c r="D20" s="12"/>
      <c r="E20" s="12"/>
      <c r="F20" s="12"/>
      <c r="G20" s="12"/>
      <c r="H20" s="125">
        <f t="shared" si="6"/>
        <v>32533</v>
      </c>
      <c r="I20" s="117">
        <f t="shared" si="6"/>
        <v>32533</v>
      </c>
      <c r="K20" s="1"/>
      <c r="L20" s="1"/>
      <c r="M20" s="1"/>
    </row>
    <row r="21" spans="1:13" ht="15.75" thickBot="1">
      <c r="A21" s="45" t="s">
        <v>12</v>
      </c>
      <c r="B21" s="43">
        <f aca="true" t="shared" si="7" ref="B21:G21">B4+B13+B19+B20</f>
        <v>798582</v>
      </c>
      <c r="C21" s="43">
        <f t="shared" si="7"/>
        <v>837226</v>
      </c>
      <c r="D21" s="43">
        <f t="shared" si="7"/>
        <v>308496</v>
      </c>
      <c r="E21" s="43">
        <f t="shared" si="7"/>
        <v>349088</v>
      </c>
      <c r="F21" s="43">
        <f t="shared" si="7"/>
        <v>265626</v>
      </c>
      <c r="G21" s="43">
        <f t="shared" si="7"/>
        <v>272220</v>
      </c>
      <c r="H21" s="128">
        <f t="shared" si="6"/>
        <v>1372704</v>
      </c>
      <c r="I21" s="44">
        <f t="shared" si="6"/>
        <v>1458534</v>
      </c>
      <c r="K21" s="1"/>
      <c r="L21" s="1"/>
      <c r="M21" s="1"/>
    </row>
    <row r="22" spans="1:9" ht="15.75" thickBot="1">
      <c r="A22" s="96" t="s">
        <v>51</v>
      </c>
      <c r="B22" s="95"/>
      <c r="C22" s="95"/>
      <c r="D22" s="95"/>
      <c r="E22" s="95"/>
      <c r="F22" s="95"/>
      <c r="G22" s="95"/>
      <c r="H22" s="95">
        <f>D22+B22</f>
        <v>0</v>
      </c>
      <c r="I22" s="129"/>
    </row>
    <row r="24" spans="3:9" ht="15">
      <c r="C24" s="1"/>
      <c r="I24" s="1"/>
    </row>
    <row r="25" spans="4:9" ht="15">
      <c r="D25" s="1"/>
      <c r="E25" s="1"/>
      <c r="I25" s="1"/>
    </row>
    <row r="26" ht="15">
      <c r="I26" s="1"/>
    </row>
  </sheetData>
  <sheetProtection/>
  <printOptions/>
  <pageMargins left="0.7" right="0.7" top="0.75" bottom="0.75" header="0.3" footer="0.3"/>
  <pageSetup horizontalDpi="600" verticalDpi="600" orientation="portrait" paperSize="9" scale="44" r:id="rId2"/>
  <headerFooter>
    <oddHeader>&amp;L&amp;G&amp;C.../2016 (IV.26.) számú határozat
a Marcali Kistérségi Többcélú Társulás
2015. évi költségvetésének módosításáról</oddHeader>
    <oddFooter>&amp;C&amp;P. oldal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G26"/>
  <sheetViews>
    <sheetView zoomScaleSheetLayoutView="70" workbookViewId="0" topLeftCell="A1">
      <selection activeCell="C2" sqref="C2"/>
    </sheetView>
  </sheetViews>
  <sheetFormatPr defaultColWidth="9.140625" defaultRowHeight="15"/>
  <cols>
    <col min="1" max="1" width="70.8515625" style="0" customWidth="1"/>
    <col min="2" max="3" width="13.28125" style="0" customWidth="1"/>
    <col min="5" max="5" width="41.00390625" style="0" customWidth="1"/>
    <col min="6" max="7" width="13.140625" style="0" customWidth="1"/>
  </cols>
  <sheetData>
    <row r="2" spans="1:7" ht="15.75" thickBot="1">
      <c r="A2" s="2" t="s">
        <v>43</v>
      </c>
      <c r="B2" s="2"/>
      <c r="C2" s="2"/>
      <c r="D2" s="10"/>
      <c r="E2" s="10"/>
      <c r="F2" s="10"/>
      <c r="G2" s="10"/>
    </row>
    <row r="3" spans="1:7" ht="15">
      <c r="A3" s="23" t="s">
        <v>1</v>
      </c>
      <c r="B3" s="24">
        <f>B4</f>
        <v>51885</v>
      </c>
      <c r="C3" s="24">
        <f>C4</f>
        <v>57513</v>
      </c>
      <c r="D3" s="28"/>
      <c r="E3" s="100" t="s">
        <v>40</v>
      </c>
      <c r="F3" s="116">
        <f>SUM(F4:F9)</f>
        <v>709977</v>
      </c>
      <c r="G3" s="116">
        <f>SUM(G4:G9)</f>
        <v>810089</v>
      </c>
    </row>
    <row r="4" spans="1:7" ht="15">
      <c r="A4" s="3" t="s">
        <v>2</v>
      </c>
      <c r="B4" s="4">
        <f>'1.sz.Bevételi források'!H6</f>
        <v>51885</v>
      </c>
      <c r="C4" s="4">
        <f>'1.sz.Bevételi források'!I6</f>
        <v>57513</v>
      </c>
      <c r="D4" s="29"/>
      <c r="E4" s="101" t="s">
        <v>13</v>
      </c>
      <c r="F4" s="5">
        <f>'2.szKiadás kiemelt jogcímenként'!H5</f>
        <v>407398</v>
      </c>
      <c r="G4" s="5">
        <f>'2.szKiadás kiemelt jogcímenként'!I5</f>
        <v>422747</v>
      </c>
    </row>
    <row r="5" spans="1:7" ht="15">
      <c r="A5" s="3"/>
      <c r="B5" s="4"/>
      <c r="C5" s="4"/>
      <c r="D5" s="29"/>
      <c r="E5" s="101" t="s">
        <v>14</v>
      </c>
      <c r="F5" s="5">
        <f>'2.szKiadás kiemelt jogcímenként'!H6</f>
        <v>102264</v>
      </c>
      <c r="G5" s="5">
        <f>'2.szKiadás kiemelt jogcímenként'!I6</f>
        <v>103172</v>
      </c>
    </row>
    <row r="6" spans="1:7" ht="15">
      <c r="A6" s="11" t="s">
        <v>77</v>
      </c>
      <c r="B6" s="12">
        <f>SUM(B7:B12)</f>
        <v>672909</v>
      </c>
      <c r="C6" s="12">
        <f>SUM(C7:C12)</f>
        <v>752698</v>
      </c>
      <c r="D6" s="29"/>
      <c r="E6" s="101" t="s">
        <v>15</v>
      </c>
      <c r="F6" s="5">
        <f>'2.szKiadás kiemelt jogcímenként'!H7</f>
        <v>183406</v>
      </c>
      <c r="G6" s="5">
        <f>'2.szKiadás kiemelt jogcímenként'!I7</f>
        <v>195948</v>
      </c>
    </row>
    <row r="7" spans="1:7" ht="15">
      <c r="A7" s="3" t="s">
        <v>81</v>
      </c>
      <c r="B7" s="4">
        <f>'1.sz.Bevételi források'!H9</f>
        <v>90442</v>
      </c>
      <c r="C7" s="4">
        <f>'1.sz.Bevételi források'!I9</f>
        <v>117451</v>
      </c>
      <c r="D7" s="29"/>
      <c r="E7" s="102" t="s">
        <v>68</v>
      </c>
      <c r="F7" s="5">
        <f>'2.szKiadás kiemelt jogcímenként'!H9</f>
        <v>15509</v>
      </c>
      <c r="G7" s="5">
        <f>'2.szKiadás kiemelt jogcímenként'!I9</f>
        <v>83822</v>
      </c>
    </row>
    <row r="8" spans="1:7" ht="15">
      <c r="A8" s="3" t="s">
        <v>82</v>
      </c>
      <c r="B8" s="4">
        <f>'1.sz.Bevételi források'!H10</f>
        <v>61662</v>
      </c>
      <c r="C8" s="4">
        <f>'1.sz.Bevételi források'!I10</f>
        <v>65439</v>
      </c>
      <c r="D8" s="29"/>
      <c r="E8" s="101" t="s">
        <v>69</v>
      </c>
      <c r="F8" s="5">
        <f>'2.szKiadás kiemelt jogcímenként'!H10</f>
        <v>1150</v>
      </c>
      <c r="G8" s="5">
        <f>'2.szKiadás kiemelt jogcímenként'!I10</f>
        <v>4150</v>
      </c>
    </row>
    <row r="9" spans="1:7" ht="15">
      <c r="A9" s="3" t="s">
        <v>83</v>
      </c>
      <c r="B9" s="4">
        <f>'1.sz.Bevételi források'!H11</f>
        <v>499155</v>
      </c>
      <c r="C9" s="4">
        <f>'1.sz.Bevételi források'!I11</f>
        <v>569020</v>
      </c>
      <c r="D9" s="29"/>
      <c r="E9" s="101" t="s">
        <v>59</v>
      </c>
      <c r="F9" s="5">
        <f>'2.szKiadás kiemelt jogcímenként'!H11</f>
        <v>250</v>
      </c>
      <c r="G9" s="5">
        <f>'2.szKiadás kiemelt jogcímenként'!I11</f>
        <v>250</v>
      </c>
    </row>
    <row r="10" spans="1:7" ht="15">
      <c r="A10" s="3" t="s">
        <v>84</v>
      </c>
      <c r="B10" s="4">
        <f>'1.sz.Bevételi források'!H12</f>
        <v>20592</v>
      </c>
      <c r="C10" s="4">
        <f>'1.sz.Bevételi források'!I12</f>
        <v>788</v>
      </c>
      <c r="D10" s="29"/>
      <c r="E10" s="84"/>
      <c r="F10" s="5"/>
      <c r="G10" s="5"/>
    </row>
    <row r="11" spans="1:7" ht="15">
      <c r="A11" s="3" t="s">
        <v>85</v>
      </c>
      <c r="B11" s="4">
        <f>'1.sz.Bevételi források'!H13</f>
        <v>0</v>
      </c>
      <c r="C11" s="4">
        <f>'1.sz.Bevételi források'!I13</f>
        <v>0</v>
      </c>
      <c r="D11" s="29"/>
      <c r="E11" s="103" t="s">
        <v>66</v>
      </c>
      <c r="F11" s="117">
        <f>'2.szKiadás kiemelt jogcímenként'!H19-'3b sz.Felhalmozási mérleg'!F12</f>
        <v>7420</v>
      </c>
      <c r="G11" s="117">
        <f>'2.szKiadás kiemelt jogcímenként'!I19-'3b sz.Felhalmozási mérleg'!H12</f>
        <v>2191</v>
      </c>
    </row>
    <row r="12" spans="1:7" ht="15">
      <c r="A12" s="3" t="s">
        <v>86</v>
      </c>
      <c r="B12" s="4">
        <f>'1.sz.Bevételi források'!H14</f>
        <v>1058</v>
      </c>
      <c r="C12" s="4">
        <f>'1.sz.Bevételi források'!I14</f>
        <v>0</v>
      </c>
      <c r="D12" s="29"/>
      <c r="E12" s="103" t="s">
        <v>67</v>
      </c>
      <c r="F12" s="117">
        <f>'2.szKiadás kiemelt jogcímenként'!H20-'3b sz.Felhalmozási mérleg'!F13</f>
        <v>32533</v>
      </c>
      <c r="G12" s="117">
        <f>'2.szKiadás kiemelt jogcímenként'!I20-'3b sz.Felhalmozási mérleg'!H13</f>
        <v>32533</v>
      </c>
    </row>
    <row r="13" spans="1:7" ht="15">
      <c r="A13" s="11" t="s">
        <v>78</v>
      </c>
      <c r="B13" s="12">
        <f>B14</f>
        <v>0</v>
      </c>
      <c r="C13" s="12">
        <f>C14</f>
        <v>0</v>
      </c>
      <c r="D13" s="29"/>
      <c r="E13" s="21"/>
      <c r="F13" s="118"/>
      <c r="G13" s="118"/>
    </row>
    <row r="14" spans="1:7" ht="15">
      <c r="A14" s="3" t="s">
        <v>94</v>
      </c>
      <c r="B14" s="4">
        <f>'1.sz.Bevételi források'!H16</f>
        <v>0</v>
      </c>
      <c r="C14" s="4">
        <f>'1.sz.Bevételi források'!I16</f>
        <v>0</v>
      </c>
      <c r="D14" s="29"/>
      <c r="E14" s="21"/>
      <c r="F14" s="118"/>
      <c r="G14" s="118"/>
    </row>
    <row r="15" spans="1:7" ht="15">
      <c r="A15" s="9"/>
      <c r="B15" s="4"/>
      <c r="C15" s="4"/>
      <c r="D15" s="29"/>
      <c r="E15" s="22"/>
      <c r="F15" s="119"/>
      <c r="G15" s="119"/>
    </row>
    <row r="16" spans="1:7" ht="15">
      <c r="A16" s="11" t="s">
        <v>79</v>
      </c>
      <c r="B16" s="12">
        <f>B17</f>
        <v>0</v>
      </c>
      <c r="C16" s="12">
        <f>C17</f>
        <v>0</v>
      </c>
      <c r="D16" s="29"/>
      <c r="E16" s="22"/>
      <c r="F16" s="119"/>
      <c r="G16" s="119"/>
    </row>
    <row r="17" spans="1:7" ht="15">
      <c r="A17" s="3" t="s">
        <v>99</v>
      </c>
      <c r="B17" s="4">
        <f>'1.sz.Bevételi források'!H20</f>
        <v>0</v>
      </c>
      <c r="C17" s="4">
        <f>'1.sz.Bevételi források'!I20</f>
        <v>0</v>
      </c>
      <c r="D17" s="29"/>
      <c r="E17" s="22"/>
      <c r="F17" s="119"/>
      <c r="G17" s="119"/>
    </row>
    <row r="18" spans="1:7" ht="15">
      <c r="A18" s="9"/>
      <c r="B18" s="4"/>
      <c r="C18" s="4"/>
      <c r="D18" s="29"/>
      <c r="E18" s="22"/>
      <c r="F18" s="119"/>
      <c r="G18" s="119"/>
    </row>
    <row r="19" spans="1:7" ht="26.25">
      <c r="A19" s="11" t="s">
        <v>98</v>
      </c>
      <c r="B19" s="12">
        <f>B20+B22</f>
        <v>25721</v>
      </c>
      <c r="C19" s="12">
        <f>C20+C22</f>
        <v>21925</v>
      </c>
      <c r="D19" s="29"/>
      <c r="E19" s="22"/>
      <c r="F19" s="119"/>
      <c r="G19" s="119"/>
    </row>
    <row r="20" spans="1:7" ht="15">
      <c r="A20" s="6" t="s">
        <v>5</v>
      </c>
      <c r="B20" s="4">
        <f>B21</f>
        <v>25721</v>
      </c>
      <c r="C20" s="4">
        <f>C21</f>
        <v>21925</v>
      </c>
      <c r="D20" s="29"/>
      <c r="E20" s="22"/>
      <c r="F20" s="119"/>
      <c r="G20" s="119"/>
    </row>
    <row r="21" spans="1:7" ht="15">
      <c r="A21" s="3" t="s">
        <v>6</v>
      </c>
      <c r="B21" s="4">
        <f>'1.sz.Bevételi források'!H41</f>
        <v>25721</v>
      </c>
      <c r="C21" s="4">
        <f>'1.sz.Bevételi források'!I41</f>
        <v>21925</v>
      </c>
      <c r="D21" s="29"/>
      <c r="E21" s="22"/>
      <c r="F21" s="119"/>
      <c r="G21" s="119"/>
    </row>
    <row r="22" spans="1:7" ht="15">
      <c r="A22" s="6" t="s">
        <v>8</v>
      </c>
      <c r="B22" s="4">
        <f>B23</f>
        <v>0</v>
      </c>
      <c r="C22" s="4">
        <f>C23</f>
        <v>0</v>
      </c>
      <c r="D22" s="29"/>
      <c r="E22" s="22"/>
      <c r="F22" s="119"/>
      <c r="G22" s="119"/>
    </row>
    <row r="23" spans="1:7" ht="15">
      <c r="A23" s="3" t="s">
        <v>9</v>
      </c>
      <c r="B23" s="4">
        <f>'1.sz.Bevételi források'!H44</f>
        <v>0</v>
      </c>
      <c r="C23" s="4">
        <f>'1.sz.Bevételi források'!I44</f>
        <v>0</v>
      </c>
      <c r="D23" s="29"/>
      <c r="E23" s="22"/>
      <c r="F23" s="119"/>
      <c r="G23" s="119"/>
    </row>
    <row r="24" spans="1:7" ht="15">
      <c r="A24" s="137" t="s">
        <v>126</v>
      </c>
      <c r="B24" s="12">
        <f>'1.sz.Bevételi források'!B47</f>
        <v>0</v>
      </c>
      <c r="C24" s="12">
        <f>'1.sz.Bevételi források'!C47</f>
        <v>0</v>
      </c>
      <c r="D24" s="29"/>
      <c r="E24" s="22"/>
      <c r="F24" s="119"/>
      <c r="G24" s="119"/>
    </row>
    <row r="25" spans="1:7" ht="15">
      <c r="A25" s="47" t="s">
        <v>17</v>
      </c>
      <c r="B25" s="48">
        <f>B19+B16+B13+B6+B3+B24</f>
        <v>750515</v>
      </c>
      <c r="C25" s="48">
        <f>C19+C16+C13+C6+C3+C24</f>
        <v>832136</v>
      </c>
      <c r="D25" s="29"/>
      <c r="E25" s="104" t="s">
        <v>19</v>
      </c>
      <c r="F25" s="49">
        <f>F3+F11+F12</f>
        <v>749930</v>
      </c>
      <c r="G25" s="49">
        <f>G3+G11+G12</f>
        <v>844813</v>
      </c>
    </row>
    <row r="26" spans="1:7" ht="15.75" thickBot="1">
      <c r="A26" s="42" t="s">
        <v>20</v>
      </c>
      <c r="B26" s="43">
        <f>IF(B25-F25&gt;0,B25-F25,"-----")</f>
        <v>585</v>
      </c>
      <c r="C26" s="43" t="str">
        <f>IF(C25-G25&gt;0,C25-G25,"-----")</f>
        <v>-----</v>
      </c>
      <c r="D26" s="30"/>
      <c r="E26" s="85" t="s">
        <v>21</v>
      </c>
      <c r="F26" s="44" t="str">
        <f>IF(B25-F25&lt;0,B25-F25,"-----")</f>
        <v>-----</v>
      </c>
      <c r="G26" s="44">
        <f>IF(C25-G25&lt;0,C25-G25,"-----")</f>
        <v>-12677</v>
      </c>
    </row>
  </sheetData>
  <sheetProtection/>
  <printOptions/>
  <pageMargins left="0.7" right="0.7" top="0.75" bottom="0.75" header="0.3" footer="0.3"/>
  <pageSetup horizontalDpi="600" verticalDpi="600" orientation="portrait" paperSize="9" scale="50" r:id="rId2"/>
  <headerFooter>
    <oddHeader>&amp;L&amp;G&amp;C.../2016 (IV.26.) számú határozat
a Marcali Kistérségi Többcélú Társulás
2015. évi költségvetésének módosításáról</oddHeader>
    <oddFooter>&amp;C&amp;P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G26"/>
  <sheetViews>
    <sheetView workbookViewId="0" topLeftCell="A1">
      <selection activeCell="B1" sqref="B1"/>
    </sheetView>
  </sheetViews>
  <sheetFormatPr defaultColWidth="9.140625" defaultRowHeight="15"/>
  <cols>
    <col min="1" max="1" width="70.28125" style="0" customWidth="1"/>
    <col min="2" max="3" width="14.8515625" style="0" customWidth="1"/>
    <col min="5" max="5" width="41.00390625" style="0" customWidth="1"/>
    <col min="6" max="7" width="15.00390625" style="0" customWidth="1"/>
  </cols>
  <sheetData>
    <row r="2" spans="1:7" ht="15.75" thickBot="1">
      <c r="A2" s="2" t="s">
        <v>44</v>
      </c>
      <c r="B2" s="2"/>
      <c r="C2" s="2"/>
      <c r="D2" s="15"/>
      <c r="E2" s="15"/>
      <c r="F2" s="15"/>
      <c r="G2" s="15"/>
    </row>
    <row r="3" spans="1:7" ht="15">
      <c r="A3" s="23" t="s">
        <v>80</v>
      </c>
      <c r="B3" s="37">
        <f>SUM(B4:B9)</f>
        <v>487077</v>
      </c>
      <c r="C3" s="37">
        <f>SUM(C4:C9)</f>
        <v>500416</v>
      </c>
      <c r="D3" s="28"/>
      <c r="E3" s="25" t="s">
        <v>23</v>
      </c>
      <c r="F3" s="120">
        <f>SUM(F4:F6)</f>
        <v>622774</v>
      </c>
      <c r="G3" s="120">
        <f>SUM(G4:G6)</f>
        <v>613721</v>
      </c>
    </row>
    <row r="4" spans="1:7" ht="15">
      <c r="A4" s="3" t="s">
        <v>87</v>
      </c>
      <c r="B4" s="4">
        <f>'1.sz.Bevételi források'!H23</f>
        <v>7811</v>
      </c>
      <c r="C4" s="4">
        <f>'1.sz.Bevételi források'!I23</f>
        <v>0</v>
      </c>
      <c r="D4" s="29"/>
      <c r="E4" s="20" t="s">
        <v>70</v>
      </c>
      <c r="F4" s="5">
        <f>'2.szKiadás kiemelt jogcímenként'!H14</f>
        <v>620774</v>
      </c>
      <c r="G4" s="5">
        <f>'2.szKiadás kiemelt jogcímenként'!I14</f>
        <v>611721</v>
      </c>
    </row>
    <row r="5" spans="1:7" ht="15">
      <c r="A5" s="3" t="s">
        <v>88</v>
      </c>
      <c r="B5" s="4">
        <f>'1.sz.Bevételi források'!H24</f>
        <v>0</v>
      </c>
      <c r="C5" s="4">
        <f>'1.sz.Bevételi források'!I24</f>
        <v>0</v>
      </c>
      <c r="D5" s="29"/>
      <c r="E5" s="20" t="s">
        <v>71</v>
      </c>
      <c r="F5" s="5">
        <f>'2.szKiadás kiemelt jogcímenként'!H15</f>
        <v>2000</v>
      </c>
      <c r="G5" s="5">
        <f>'2.szKiadás kiemelt jogcímenként'!I15</f>
        <v>2000</v>
      </c>
    </row>
    <row r="6" spans="1:7" ht="15">
      <c r="A6" s="3" t="s">
        <v>89</v>
      </c>
      <c r="B6" s="4">
        <f>'1.sz.Bevételi források'!H25</f>
        <v>0</v>
      </c>
      <c r="C6" s="4">
        <f>'1.sz.Bevételi források'!I25</f>
        <v>0</v>
      </c>
      <c r="D6" s="29"/>
      <c r="E6" s="20" t="s">
        <v>65</v>
      </c>
      <c r="F6" s="5">
        <f>'2.szKiadás kiemelt jogcímenként'!H16</f>
        <v>0</v>
      </c>
      <c r="G6" s="5">
        <f>'2.szKiadás kiemelt jogcímenként'!I16</f>
        <v>0</v>
      </c>
    </row>
    <row r="7" spans="1:7" ht="15">
      <c r="A7" s="3" t="s">
        <v>90</v>
      </c>
      <c r="B7" s="4">
        <f>'1.sz.Bevételi források'!H26</f>
        <v>455303</v>
      </c>
      <c r="C7" s="4">
        <f>'1.sz.Bevételi források'!I26</f>
        <v>475395</v>
      </c>
      <c r="D7" s="29"/>
      <c r="E7" s="17" t="s">
        <v>62</v>
      </c>
      <c r="F7" s="5">
        <f>'2.szKiadás kiemelt jogcímenként'!H17</f>
        <v>0</v>
      </c>
      <c r="G7" s="5">
        <f>'2.szKiadás kiemelt jogcímenként'!I17</f>
        <v>0</v>
      </c>
    </row>
    <row r="8" spans="1:7" ht="15">
      <c r="A8" s="3" t="s">
        <v>91</v>
      </c>
      <c r="B8" s="4">
        <f>'1.sz.Bevételi források'!H27</f>
        <v>0</v>
      </c>
      <c r="C8" s="4">
        <f>'1.sz.Bevételi források'!I27</f>
        <v>0</v>
      </c>
      <c r="D8" s="29"/>
      <c r="E8" s="17" t="s">
        <v>63</v>
      </c>
      <c r="F8" s="5">
        <f>'2.szKiadás kiemelt jogcímenként'!H18</f>
        <v>0</v>
      </c>
      <c r="G8" s="5">
        <f>'2.szKiadás kiemelt jogcímenként'!I18</f>
        <v>0</v>
      </c>
    </row>
    <row r="9" spans="1:7" ht="15">
      <c r="A9" s="3" t="s">
        <v>92</v>
      </c>
      <c r="B9" s="4">
        <f>'1.sz.Bevételi források'!H28</f>
        <v>23963</v>
      </c>
      <c r="C9" s="4">
        <f>'1.sz.Bevételi források'!I28</f>
        <v>25021</v>
      </c>
      <c r="D9" s="29"/>
      <c r="E9" s="16"/>
      <c r="F9" s="5"/>
      <c r="G9" s="5"/>
    </row>
    <row r="10" spans="1:7" ht="15">
      <c r="A10" s="3"/>
      <c r="B10" s="4"/>
      <c r="C10" s="4"/>
      <c r="D10" s="29"/>
      <c r="E10" s="16"/>
      <c r="F10" s="5"/>
      <c r="G10" s="5"/>
    </row>
    <row r="11" spans="1:7" ht="15">
      <c r="A11" s="38" t="s">
        <v>100</v>
      </c>
      <c r="B11" s="8">
        <f>SUM(B12:B13)</f>
        <v>0</v>
      </c>
      <c r="C11" s="8">
        <f>SUM(C12:C13)</f>
        <v>0</v>
      </c>
      <c r="D11" s="29"/>
      <c r="E11" s="107"/>
      <c r="F11" s="121"/>
      <c r="G11" s="121"/>
    </row>
    <row r="12" spans="1:7" ht="15">
      <c r="A12" s="32" t="s">
        <v>3</v>
      </c>
      <c r="B12" s="4">
        <f>'1.sz.Bevételi források'!H31</f>
        <v>0</v>
      </c>
      <c r="C12" s="4">
        <f>'1.sz.Bevételi források'!I31</f>
        <v>0</v>
      </c>
      <c r="D12" s="29"/>
      <c r="E12" s="26" t="s">
        <v>66</v>
      </c>
      <c r="F12" s="117"/>
      <c r="G12" s="117"/>
    </row>
    <row r="13" spans="1:7" ht="15">
      <c r="A13" s="32" t="s">
        <v>73</v>
      </c>
      <c r="B13" s="4">
        <f>'1.sz.Bevételi források'!H32</f>
        <v>0</v>
      </c>
      <c r="C13" s="4">
        <f>'1.sz.Bevételi források'!I32</f>
        <v>0</v>
      </c>
      <c r="D13" s="29"/>
      <c r="E13" s="26" t="s">
        <v>67</v>
      </c>
      <c r="F13" s="117"/>
      <c r="G13" s="117"/>
    </row>
    <row r="14" spans="1:7" ht="15">
      <c r="A14" s="32"/>
      <c r="B14" s="4"/>
      <c r="C14" s="4"/>
      <c r="D14" s="29"/>
      <c r="E14" s="21"/>
      <c r="F14" s="118"/>
      <c r="G14" s="118"/>
    </row>
    <row r="15" spans="1:7" ht="15">
      <c r="A15" s="32"/>
      <c r="B15" s="4"/>
      <c r="C15" s="4"/>
      <c r="D15" s="29"/>
      <c r="E15" s="22"/>
      <c r="F15" s="119"/>
      <c r="G15" s="119"/>
    </row>
    <row r="16" spans="1:7" ht="15">
      <c r="A16" s="11" t="s">
        <v>95</v>
      </c>
      <c r="B16" s="8">
        <f>B17</f>
        <v>0</v>
      </c>
      <c r="C16" s="8">
        <f>C17</f>
        <v>125982</v>
      </c>
      <c r="D16" s="29"/>
      <c r="E16" s="22"/>
      <c r="F16" s="119"/>
      <c r="G16" s="119"/>
    </row>
    <row r="17" spans="1:7" ht="15">
      <c r="A17" s="3" t="s">
        <v>96</v>
      </c>
      <c r="B17" s="4">
        <f>'1.sz.Bevételi források'!H35</f>
        <v>0</v>
      </c>
      <c r="C17" s="4">
        <f>'1.sz.Bevételi források'!I35</f>
        <v>125982</v>
      </c>
      <c r="D17" s="29"/>
      <c r="E17" s="22"/>
      <c r="F17" s="119"/>
      <c r="G17" s="119"/>
    </row>
    <row r="18" spans="1:7" ht="15">
      <c r="A18" s="32"/>
      <c r="B18" s="4"/>
      <c r="C18" s="4"/>
      <c r="D18" s="29"/>
      <c r="E18" s="22"/>
      <c r="F18" s="119"/>
      <c r="G18" s="119"/>
    </row>
    <row r="19" spans="1:7" ht="26.25">
      <c r="A19" s="38" t="s">
        <v>4</v>
      </c>
      <c r="B19" s="8">
        <f>B20+B22</f>
        <v>0</v>
      </c>
      <c r="C19" s="8">
        <f>C20+C22</f>
        <v>0</v>
      </c>
      <c r="D19" s="29"/>
      <c r="E19" s="22"/>
      <c r="F19" s="119"/>
      <c r="G19" s="119"/>
    </row>
    <row r="20" spans="1:7" ht="15">
      <c r="A20" s="31" t="s">
        <v>5</v>
      </c>
      <c r="B20" s="4">
        <f>B21</f>
        <v>0</v>
      </c>
      <c r="C20" s="4">
        <f>C21</f>
        <v>0</v>
      </c>
      <c r="D20" s="29"/>
      <c r="E20" s="22"/>
      <c r="F20" s="119"/>
      <c r="G20" s="119"/>
    </row>
    <row r="21" spans="1:7" ht="15">
      <c r="A21" s="32" t="s">
        <v>7</v>
      </c>
      <c r="B21" s="4">
        <f>'1.sz.Bevételi források'!H42</f>
        <v>0</v>
      </c>
      <c r="C21" s="4">
        <f>'1.sz.Bevételi források'!I42</f>
        <v>0</v>
      </c>
      <c r="D21" s="29"/>
      <c r="E21" s="22"/>
      <c r="F21" s="119"/>
      <c r="G21" s="119"/>
    </row>
    <row r="22" spans="1:7" ht="15">
      <c r="A22" s="31" t="s">
        <v>8</v>
      </c>
      <c r="B22" s="4">
        <f>B23</f>
        <v>0</v>
      </c>
      <c r="C22" s="4">
        <f>C23</f>
        <v>0</v>
      </c>
      <c r="D22" s="29"/>
      <c r="E22" s="22"/>
      <c r="F22" s="119"/>
      <c r="G22" s="119"/>
    </row>
    <row r="23" spans="1:7" ht="15">
      <c r="A23" s="32" t="s">
        <v>10</v>
      </c>
      <c r="B23" s="4">
        <f>'1.sz.Bevételi források'!H45</f>
        <v>0</v>
      </c>
      <c r="C23" s="4">
        <f>'1.sz.Bevételi források'!I45</f>
        <v>0</v>
      </c>
      <c r="D23" s="29"/>
      <c r="E23" s="22"/>
      <c r="F23" s="119"/>
      <c r="G23" s="119"/>
    </row>
    <row r="24" spans="1:7" ht="15">
      <c r="A24" s="137" t="s">
        <v>127</v>
      </c>
      <c r="B24" s="12">
        <f>'1.sz.Bevételi források'!B48</f>
        <v>135112</v>
      </c>
      <c r="C24" s="12">
        <f>'1.sz.Bevételi források'!C48</f>
        <v>0</v>
      </c>
      <c r="D24" s="29"/>
      <c r="E24" s="22"/>
      <c r="F24" s="119"/>
      <c r="G24" s="119"/>
    </row>
    <row r="25" spans="1:7" ht="15">
      <c r="A25" s="50" t="s">
        <v>22</v>
      </c>
      <c r="B25" s="48">
        <f>B3+B11+B16+B19+B24</f>
        <v>622189</v>
      </c>
      <c r="C25" s="48">
        <f>C3+C11+C16+C19+C24</f>
        <v>626398</v>
      </c>
      <c r="D25" s="35"/>
      <c r="E25" s="48" t="s">
        <v>52</v>
      </c>
      <c r="F25" s="49">
        <f>F3+F11+F12+F13</f>
        <v>622774</v>
      </c>
      <c r="G25" s="49">
        <f>G3+G11+G12+G13</f>
        <v>613721</v>
      </c>
    </row>
    <row r="26" spans="1:7" ht="15.75" thickBot="1">
      <c r="A26" s="51" t="s">
        <v>54</v>
      </c>
      <c r="B26" s="43" t="str">
        <f>IF(B25-F25&gt;0,B25-F25,"-----")</f>
        <v>-----</v>
      </c>
      <c r="C26" s="43">
        <f>IF(C25-G25&gt;0,C25-G25,"-----")</f>
        <v>12677</v>
      </c>
      <c r="D26" s="36"/>
      <c r="E26" s="43" t="s">
        <v>53</v>
      </c>
      <c r="F26" s="44">
        <f>IF(B25-F25&lt;0,B25-F25,"-----")</f>
        <v>-585</v>
      </c>
      <c r="G26" s="44" t="str">
        <f>IF(C25-G25&lt;0,C25-G25,"-----")</f>
        <v>-----</v>
      </c>
    </row>
  </sheetData>
  <sheetProtection/>
  <printOptions/>
  <pageMargins left="0.7" right="0.7" top="0.75" bottom="0.75" header="0.3" footer="0.3"/>
  <pageSetup horizontalDpi="600" verticalDpi="600" orientation="portrait" paperSize="9" scale="48" r:id="rId2"/>
  <headerFooter>
    <oddHeader>&amp;L&amp;G&amp;C.../2016 (IV.26.) számú határozat
a Marcali Kistérségi Többcélú Társulás
2015. évi költségvetésének módosításáról</oddHeader>
    <oddFooter>&amp;C&amp;P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3:K26"/>
  <sheetViews>
    <sheetView workbookViewId="0" topLeftCell="A1">
      <selection activeCell="F2" sqref="F2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13.28125" style="0" customWidth="1"/>
    <col min="4" max="4" width="11.57421875" style="0" customWidth="1"/>
    <col min="5" max="8" width="12.00390625" style="0" customWidth="1"/>
    <col min="9" max="9" width="26.57421875" style="0" customWidth="1"/>
  </cols>
  <sheetData>
    <row r="3" spans="1:9" ht="15">
      <c r="A3" s="138" t="s">
        <v>128</v>
      </c>
      <c r="B3" s="138"/>
      <c r="C3" s="138"/>
      <c r="D3" s="138"/>
      <c r="E3" s="138"/>
      <c r="F3" s="138"/>
      <c r="G3" s="138"/>
      <c r="H3" s="138"/>
      <c r="I3" s="139" t="s">
        <v>16</v>
      </c>
    </row>
    <row r="4" spans="1:9" ht="15.75" thickBot="1">
      <c r="A4" s="138" t="s">
        <v>129</v>
      </c>
      <c r="B4" s="138"/>
      <c r="C4" s="138"/>
      <c r="D4" s="138"/>
      <c r="E4" s="138"/>
      <c r="F4" s="138"/>
      <c r="G4" s="138"/>
      <c r="H4" s="138"/>
      <c r="I4" s="139"/>
    </row>
    <row r="5" spans="1:9" ht="15" customHeight="1">
      <c r="A5" s="140" t="s">
        <v>130</v>
      </c>
      <c r="B5" s="211" t="s">
        <v>131</v>
      </c>
      <c r="C5" s="211" t="s">
        <v>132</v>
      </c>
      <c r="D5" s="211" t="s">
        <v>133</v>
      </c>
      <c r="E5" s="211" t="s">
        <v>134</v>
      </c>
      <c r="F5" s="211" t="s">
        <v>135</v>
      </c>
      <c r="G5" s="211" t="s">
        <v>136</v>
      </c>
      <c r="H5" s="211" t="s">
        <v>137</v>
      </c>
      <c r="I5" s="213" t="s">
        <v>138</v>
      </c>
    </row>
    <row r="6" spans="1:9" ht="47.25" customHeight="1">
      <c r="A6" s="141" t="s">
        <v>139</v>
      </c>
      <c r="B6" s="212"/>
      <c r="C6" s="212"/>
      <c r="D6" s="212"/>
      <c r="E6" s="212"/>
      <c r="F6" s="212"/>
      <c r="G6" s="212"/>
      <c r="H6" s="212"/>
      <c r="I6" s="214"/>
    </row>
    <row r="7" spans="1:11" ht="39.75" customHeight="1">
      <c r="A7" s="39" t="s">
        <v>140</v>
      </c>
      <c r="B7" s="142" t="s">
        <v>141</v>
      </c>
      <c r="C7" s="145">
        <v>635528</v>
      </c>
      <c r="D7" s="145">
        <v>0</v>
      </c>
      <c r="E7" s="145">
        <v>635528</v>
      </c>
      <c r="F7" s="145">
        <v>593839</v>
      </c>
      <c r="G7" s="145">
        <v>0</v>
      </c>
      <c r="H7" s="145">
        <v>593839</v>
      </c>
      <c r="I7" s="146" t="s">
        <v>158</v>
      </c>
      <c r="K7" s="162"/>
    </row>
    <row r="8" spans="1:11" ht="26.25" customHeight="1">
      <c r="A8" s="147" t="s">
        <v>142</v>
      </c>
      <c r="B8" s="142" t="s">
        <v>143</v>
      </c>
      <c r="C8" s="145">
        <v>7811</v>
      </c>
      <c r="D8" s="145">
        <v>0</v>
      </c>
      <c r="E8" s="145">
        <v>7811</v>
      </c>
      <c r="F8" s="145">
        <v>12437</v>
      </c>
      <c r="G8" s="145">
        <v>0</v>
      </c>
      <c r="H8" s="145">
        <v>12437</v>
      </c>
      <c r="I8" s="146" t="s">
        <v>261</v>
      </c>
      <c r="K8" s="1"/>
    </row>
    <row r="9" spans="1:9" ht="26.25" customHeight="1">
      <c r="A9" s="147" t="s">
        <v>144</v>
      </c>
      <c r="B9" s="142" t="s">
        <v>264</v>
      </c>
      <c r="C9" s="143">
        <v>0</v>
      </c>
      <c r="D9" s="144"/>
      <c r="E9" s="144">
        <v>0</v>
      </c>
      <c r="F9" s="145">
        <v>197</v>
      </c>
      <c r="G9" s="145"/>
      <c r="H9" s="145">
        <v>197</v>
      </c>
      <c r="I9" s="146" t="s">
        <v>263</v>
      </c>
    </row>
    <row r="10" spans="1:9" ht="15.75" thickBot="1">
      <c r="A10" s="52"/>
      <c r="B10" s="45" t="s">
        <v>145</v>
      </c>
      <c r="C10" s="148">
        <f aca="true" t="shared" si="0" ref="C10:H10">SUM(C7:C9)</f>
        <v>643339</v>
      </c>
      <c r="D10" s="148">
        <f t="shared" si="0"/>
        <v>0</v>
      </c>
      <c r="E10" s="148">
        <f t="shared" si="0"/>
        <v>643339</v>
      </c>
      <c r="F10" s="148">
        <f t="shared" si="0"/>
        <v>606473</v>
      </c>
      <c r="G10" s="148">
        <f t="shared" si="0"/>
        <v>0</v>
      </c>
      <c r="H10" s="148">
        <f t="shared" si="0"/>
        <v>606473</v>
      </c>
      <c r="I10" s="149"/>
    </row>
    <row r="12" ht="15.75" thickBot="1">
      <c r="A12" t="s">
        <v>146</v>
      </c>
    </row>
    <row r="13" spans="1:9" ht="15" customHeight="1">
      <c r="A13" s="140" t="s">
        <v>130</v>
      </c>
      <c r="B13" s="211" t="s">
        <v>131</v>
      </c>
      <c r="C13" s="211" t="s">
        <v>132</v>
      </c>
      <c r="D13" s="211" t="s">
        <v>133</v>
      </c>
      <c r="E13" s="211" t="s">
        <v>134</v>
      </c>
      <c r="F13" s="211" t="s">
        <v>135</v>
      </c>
      <c r="G13" s="211" t="s">
        <v>136</v>
      </c>
      <c r="H13" s="211" t="s">
        <v>137</v>
      </c>
      <c r="I13" s="213" t="s">
        <v>138</v>
      </c>
    </row>
    <row r="14" spans="1:9" ht="47.25" customHeight="1">
      <c r="A14" s="141" t="s">
        <v>139</v>
      </c>
      <c r="B14" s="212"/>
      <c r="C14" s="212"/>
      <c r="D14" s="212"/>
      <c r="E14" s="212"/>
      <c r="F14" s="212"/>
      <c r="G14" s="212"/>
      <c r="H14" s="212"/>
      <c r="I14" s="214"/>
    </row>
    <row r="15" spans="1:9" ht="30" customHeight="1">
      <c r="A15" s="147" t="s">
        <v>140</v>
      </c>
      <c r="B15" s="142" t="s">
        <v>147</v>
      </c>
      <c r="C15" s="143">
        <v>4000</v>
      </c>
      <c r="D15" s="144">
        <v>4000</v>
      </c>
      <c r="E15" s="144">
        <v>0</v>
      </c>
      <c r="F15" s="145">
        <v>4050</v>
      </c>
      <c r="G15" s="145">
        <v>4050</v>
      </c>
      <c r="H15" s="145"/>
      <c r="I15" s="146" t="s">
        <v>148</v>
      </c>
    </row>
    <row r="16" spans="1:9" ht="30" customHeight="1">
      <c r="A16" s="147" t="s">
        <v>142</v>
      </c>
      <c r="B16" s="142" t="s">
        <v>149</v>
      </c>
      <c r="C16" s="143">
        <v>296</v>
      </c>
      <c r="D16" s="144">
        <v>296</v>
      </c>
      <c r="E16" s="144"/>
      <c r="F16" s="145">
        <v>296</v>
      </c>
      <c r="G16" s="145">
        <v>296</v>
      </c>
      <c r="H16" s="145"/>
      <c r="I16" s="146" t="s">
        <v>148</v>
      </c>
    </row>
    <row r="17" spans="1:9" ht="30" customHeight="1">
      <c r="A17" s="147" t="s">
        <v>144</v>
      </c>
      <c r="B17" s="142" t="s">
        <v>266</v>
      </c>
      <c r="C17" s="143"/>
      <c r="D17" s="144"/>
      <c r="E17" s="144"/>
      <c r="F17" s="145">
        <v>320</v>
      </c>
      <c r="G17" s="145">
        <v>320</v>
      </c>
      <c r="H17" s="145"/>
      <c r="I17" s="146" t="s">
        <v>267</v>
      </c>
    </row>
    <row r="18" spans="1:9" ht="43.5" customHeight="1">
      <c r="A18" s="147" t="s">
        <v>265</v>
      </c>
      <c r="B18" s="142" t="s">
        <v>268</v>
      </c>
      <c r="C18" s="143"/>
      <c r="D18" s="144"/>
      <c r="E18" s="144"/>
      <c r="F18" s="145">
        <v>582</v>
      </c>
      <c r="G18" s="145">
        <v>582</v>
      </c>
      <c r="H18" s="145"/>
      <c r="I18" s="146" t="s">
        <v>148</v>
      </c>
    </row>
    <row r="19" spans="1:9" ht="15.75" thickBot="1">
      <c r="A19" s="52"/>
      <c r="B19" s="45" t="s">
        <v>145</v>
      </c>
      <c r="C19" s="148">
        <f aca="true" t="shared" si="1" ref="C19:H19">SUM(C15:C18)</f>
        <v>4296</v>
      </c>
      <c r="D19" s="148">
        <f t="shared" si="1"/>
        <v>4296</v>
      </c>
      <c r="E19" s="148">
        <f t="shared" si="1"/>
        <v>0</v>
      </c>
      <c r="F19" s="148">
        <f t="shared" si="1"/>
        <v>5248</v>
      </c>
      <c r="G19" s="148">
        <f t="shared" si="1"/>
        <v>5248</v>
      </c>
      <c r="H19" s="148">
        <f t="shared" si="1"/>
        <v>0</v>
      </c>
      <c r="I19" s="149"/>
    </row>
    <row r="21" ht="15.75" thickBot="1">
      <c r="A21" t="s">
        <v>150</v>
      </c>
    </row>
    <row r="22" spans="1:9" ht="15" customHeight="1">
      <c r="A22" s="140" t="s">
        <v>130</v>
      </c>
      <c r="B22" s="211" t="s">
        <v>131</v>
      </c>
      <c r="C22" s="211" t="s">
        <v>132</v>
      </c>
      <c r="D22" s="211" t="s">
        <v>133</v>
      </c>
      <c r="E22" s="211" t="s">
        <v>134</v>
      </c>
      <c r="F22" s="211" t="s">
        <v>135</v>
      </c>
      <c r="G22" s="211" t="s">
        <v>136</v>
      </c>
      <c r="H22" s="211" t="s">
        <v>137</v>
      </c>
      <c r="I22" s="213" t="s">
        <v>138</v>
      </c>
    </row>
    <row r="23" spans="1:9" ht="39.75" customHeight="1">
      <c r="A23" s="141" t="s">
        <v>139</v>
      </c>
      <c r="B23" s="212"/>
      <c r="C23" s="212"/>
      <c r="D23" s="212"/>
      <c r="E23" s="212"/>
      <c r="F23" s="212"/>
      <c r="G23" s="212"/>
      <c r="H23" s="212"/>
      <c r="I23" s="214"/>
    </row>
    <row r="24" spans="1:9" ht="15">
      <c r="A24" s="147" t="s">
        <v>140</v>
      </c>
      <c r="B24" s="142"/>
      <c r="C24" s="143"/>
      <c r="D24" s="144"/>
      <c r="E24" s="144"/>
      <c r="F24" s="145"/>
      <c r="G24" s="145"/>
      <c r="H24" s="145"/>
      <c r="I24" s="146"/>
    </row>
    <row r="25" spans="1:9" ht="15">
      <c r="A25" s="147" t="s">
        <v>142</v>
      </c>
      <c r="B25" s="142"/>
      <c r="C25" s="143"/>
      <c r="D25" s="144"/>
      <c r="E25" s="144"/>
      <c r="F25" s="145"/>
      <c r="G25" s="145"/>
      <c r="H25" s="145"/>
      <c r="I25" s="146"/>
    </row>
    <row r="26" spans="1:9" ht="15.75" thickBot="1">
      <c r="A26" s="52"/>
      <c r="B26" s="45" t="s">
        <v>145</v>
      </c>
      <c r="C26" s="148">
        <f>SUM(C24:C25)</f>
        <v>0</v>
      </c>
      <c r="D26" s="148">
        <f>SUM(D24:D25)</f>
        <v>0</v>
      </c>
      <c r="E26" s="148">
        <f>SUM(E24:E25)</f>
        <v>0</v>
      </c>
      <c r="F26" s="150"/>
      <c r="G26" s="150"/>
      <c r="H26" s="150"/>
      <c r="I26" s="149"/>
    </row>
  </sheetData>
  <sheetProtection/>
  <mergeCells count="24">
    <mergeCell ref="H22:H23"/>
    <mergeCell ref="I22:I23"/>
    <mergeCell ref="B22:B23"/>
    <mergeCell ref="C22:C23"/>
    <mergeCell ref="D22:D23"/>
    <mergeCell ref="E22:E23"/>
    <mergeCell ref="F22:F23"/>
    <mergeCell ref="G22:G23"/>
    <mergeCell ref="H5:H6"/>
    <mergeCell ref="I5:I6"/>
    <mergeCell ref="B13:B14"/>
    <mergeCell ref="C13:C14"/>
    <mergeCell ref="D13:D14"/>
    <mergeCell ref="E13:E14"/>
    <mergeCell ref="F13:F14"/>
    <mergeCell ref="G13:G14"/>
    <mergeCell ref="H13:H14"/>
    <mergeCell ref="I13:I14"/>
    <mergeCell ref="B5:B6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landscape" paperSize="9" scale="86" r:id="rId2"/>
  <headerFooter>
    <oddHeader>&amp;L&amp;G&amp;C.../2016 (IV.26.) számú határozat
a Marcali Kistérségi Többcélú Társulás
2015. évi költségvetésének módosításáról</oddHeader>
    <oddFooter>&amp;C&amp;P. oldal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AK48"/>
  <sheetViews>
    <sheetView zoomScale="80" zoomScaleNormal="80" workbookViewId="0" topLeftCell="R10">
      <selection activeCell="AF33" sqref="AF33"/>
    </sheetView>
  </sheetViews>
  <sheetFormatPr defaultColWidth="9.140625" defaultRowHeight="15"/>
  <cols>
    <col min="1" max="1" width="19.7109375" style="0" customWidth="1"/>
    <col min="2" max="3" width="9.28125" style="0" bestFit="1" customWidth="1"/>
    <col min="4" max="4" width="11.421875" style="0" customWidth="1"/>
    <col min="5" max="5" width="10.7109375" style="0" customWidth="1"/>
    <col min="6" max="6" width="11.57421875" style="0" customWidth="1"/>
    <col min="7" max="7" width="11.28125" style="0" customWidth="1"/>
    <col min="8" max="8" width="11.8515625" style="0" customWidth="1"/>
    <col min="9" max="9" width="12.57421875" style="0" customWidth="1"/>
    <col min="10" max="10" width="13.8515625" style="0" customWidth="1"/>
    <col min="11" max="11" width="13.28125" style="0" bestFit="1" customWidth="1"/>
    <col min="12" max="12" width="11.140625" style="0" customWidth="1"/>
    <col min="13" max="13" width="15.00390625" style="0" customWidth="1"/>
    <col min="14" max="14" width="12.00390625" style="0" bestFit="1" customWidth="1"/>
    <col min="15" max="15" width="12.00390625" style="0" customWidth="1"/>
    <col min="16" max="16" width="9.7109375" style="0" bestFit="1" customWidth="1"/>
    <col min="17" max="17" width="11.140625" style="0" customWidth="1"/>
    <col min="18" max="18" width="13.57421875" style="0" customWidth="1"/>
    <col min="19" max="19" width="10.7109375" style="0" customWidth="1"/>
    <col min="20" max="20" width="14.57421875" style="0" customWidth="1"/>
    <col min="21" max="21" width="9.28125" style="0" bestFit="1" customWidth="1"/>
    <col min="22" max="24" width="9.28125" style="0" customWidth="1"/>
    <col min="25" max="25" width="12.140625" style="0" customWidth="1"/>
    <col min="26" max="26" width="12.57421875" style="0" customWidth="1"/>
    <col min="27" max="28" width="14.28125" style="0" customWidth="1"/>
    <col min="29" max="29" width="13.421875" style="0" customWidth="1"/>
    <col min="30" max="30" width="22.421875" style="0" customWidth="1"/>
    <col min="32" max="32" width="10.8515625" style="0" bestFit="1" customWidth="1"/>
    <col min="35" max="35" width="9.7109375" style="0" bestFit="1" customWidth="1"/>
    <col min="37" max="37" width="13.421875" style="0" customWidth="1"/>
    <col min="39" max="39" width="9.7109375" style="0" bestFit="1" customWidth="1"/>
    <col min="40" max="40" width="10.57421875" style="0" bestFit="1" customWidth="1"/>
    <col min="42" max="42" width="11.28125" style="0" customWidth="1"/>
    <col min="47" max="47" width="12.7109375" style="0" customWidth="1"/>
    <col min="48" max="48" width="14.140625" style="0" customWidth="1"/>
  </cols>
  <sheetData>
    <row r="2" spans="1:21" ht="15">
      <c r="A2" s="2" t="s">
        <v>196</v>
      </c>
      <c r="G2" s="190">
        <v>375</v>
      </c>
      <c r="H2" s="190">
        <v>250</v>
      </c>
      <c r="I2" s="190">
        <v>650</v>
      </c>
      <c r="J2" s="190">
        <f>SUM(G2:I2)</f>
        <v>1275</v>
      </c>
      <c r="K2" s="190">
        <f>J2-G2</f>
        <v>900</v>
      </c>
      <c r="N2" s="191">
        <v>300</v>
      </c>
      <c r="U2" s="190">
        <v>150</v>
      </c>
    </row>
    <row r="3" spans="1:29" ht="15.75" thickBot="1">
      <c r="A3" s="215" t="s">
        <v>197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30" ht="76.5">
      <c r="A4" s="216"/>
      <c r="B4" s="217"/>
      <c r="C4" s="218" t="s">
        <v>198</v>
      </c>
      <c r="D4" s="219"/>
      <c r="E4" s="219"/>
      <c r="F4" s="220"/>
      <c r="G4" s="192" t="s">
        <v>199</v>
      </c>
      <c r="H4" s="193" t="s">
        <v>200</v>
      </c>
      <c r="I4" s="193" t="s">
        <v>201</v>
      </c>
      <c r="J4" s="193" t="s">
        <v>202</v>
      </c>
      <c r="K4" s="193" t="s">
        <v>203</v>
      </c>
      <c r="L4" s="193" t="s">
        <v>204</v>
      </c>
      <c r="M4" s="193" t="s">
        <v>205</v>
      </c>
      <c r="N4" s="193" t="s">
        <v>46</v>
      </c>
      <c r="O4" s="193" t="s">
        <v>206</v>
      </c>
      <c r="P4" s="193" t="s">
        <v>207</v>
      </c>
      <c r="Q4" s="193" t="s">
        <v>208</v>
      </c>
      <c r="R4" s="193" t="s">
        <v>209</v>
      </c>
      <c r="S4" s="193" t="s">
        <v>260</v>
      </c>
      <c r="T4" s="193" t="s">
        <v>210</v>
      </c>
      <c r="U4" s="193" t="s">
        <v>211</v>
      </c>
      <c r="V4" s="193" t="s">
        <v>212</v>
      </c>
      <c r="W4" s="193" t="s">
        <v>213</v>
      </c>
      <c r="X4" s="192" t="s">
        <v>214</v>
      </c>
      <c r="Y4" s="193" t="s">
        <v>215</v>
      </c>
      <c r="Z4" s="193" t="s">
        <v>216</v>
      </c>
      <c r="AA4" s="193" t="s">
        <v>217</v>
      </c>
      <c r="AB4" s="192" t="s">
        <v>218</v>
      </c>
      <c r="AC4" s="194" t="s">
        <v>0</v>
      </c>
      <c r="AD4" s="208"/>
    </row>
    <row r="5" spans="1:30" ht="26.25">
      <c r="A5" s="221" t="s">
        <v>219</v>
      </c>
      <c r="B5" s="222"/>
      <c r="C5" s="195" t="s">
        <v>220</v>
      </c>
      <c r="D5" s="196">
        <v>300</v>
      </c>
      <c r="E5" s="197" t="s">
        <v>221</v>
      </c>
      <c r="F5" s="196" t="s">
        <v>0</v>
      </c>
      <c r="G5" s="196">
        <v>2015</v>
      </c>
      <c r="H5" s="196">
        <v>2015</v>
      </c>
      <c r="I5" s="196">
        <v>2015</v>
      </c>
      <c r="J5" s="196">
        <v>2015</v>
      </c>
      <c r="K5" s="196">
        <v>2015</v>
      </c>
      <c r="L5" s="196"/>
      <c r="M5" s="196" t="s">
        <v>0</v>
      </c>
      <c r="N5" s="196">
        <v>2015</v>
      </c>
      <c r="O5" s="196"/>
      <c r="P5" s="196"/>
      <c r="Q5" s="196">
        <v>2015</v>
      </c>
      <c r="R5" s="196">
        <v>2015</v>
      </c>
      <c r="S5" s="196"/>
      <c r="T5" s="196">
        <v>2015</v>
      </c>
      <c r="U5" s="196">
        <v>2015</v>
      </c>
      <c r="V5" s="196">
        <v>2014</v>
      </c>
      <c r="W5" s="196"/>
      <c r="X5" s="196"/>
      <c r="Y5" s="196"/>
      <c r="Z5" s="196"/>
      <c r="AA5" s="196">
        <v>2012</v>
      </c>
      <c r="AB5" s="198"/>
      <c r="AC5" s="199"/>
      <c r="AD5" s="209" t="s">
        <v>219</v>
      </c>
    </row>
    <row r="6" spans="1:30" ht="15">
      <c r="A6" s="200" t="s">
        <v>222</v>
      </c>
      <c r="B6" s="201">
        <v>1177</v>
      </c>
      <c r="C6" s="62"/>
      <c r="D6" s="4">
        <f aca="true" t="shared" si="0" ref="D6:D43">B6*D$5</f>
        <v>353100</v>
      </c>
      <c r="E6" s="4">
        <v>0</v>
      </c>
      <c r="F6" s="4">
        <f aca="true" t="shared" si="1" ref="F6:F43">D6+E6</f>
        <v>353100</v>
      </c>
      <c r="G6" s="4"/>
      <c r="H6" s="4"/>
      <c r="I6" s="4"/>
      <c r="J6" s="4"/>
      <c r="K6" s="4"/>
      <c r="L6" s="4">
        <v>0</v>
      </c>
      <c r="M6" s="4">
        <f aca="true" t="shared" si="2" ref="M6:M43">G6+H6+I6+K6+L6+J6</f>
        <v>0</v>
      </c>
      <c r="N6" s="4">
        <f aca="true" t="shared" si="3" ref="N6:N29">B6*N$2</f>
        <v>353100</v>
      </c>
      <c r="O6" s="4">
        <v>0</v>
      </c>
      <c r="P6" s="4">
        <v>0</v>
      </c>
      <c r="Q6" s="4"/>
      <c r="R6" s="4"/>
      <c r="S6" s="4"/>
      <c r="T6" s="4">
        <f aca="true" t="shared" si="4" ref="T6:T43">SUM(P6:S6)</f>
        <v>0</v>
      </c>
      <c r="U6" s="4">
        <f aca="true" t="shared" si="5" ref="U6:U12">B6*U$2</f>
        <v>176550</v>
      </c>
      <c r="V6" s="4">
        <v>0</v>
      </c>
      <c r="W6" s="4"/>
      <c r="X6" s="4"/>
      <c r="Y6" s="4"/>
      <c r="Z6" s="4"/>
      <c r="AA6" s="4"/>
      <c r="AB6" s="84"/>
      <c r="AC6" s="202">
        <f aca="true" t="shared" si="6" ref="AC6:AC43">M6+F6+AA6+N6+U6+Y6+T6+V6+O6+Z6+W6+AB6+X6:X43</f>
        <v>882750</v>
      </c>
      <c r="AD6" s="210" t="s">
        <v>222</v>
      </c>
    </row>
    <row r="7" spans="1:30" ht="15">
      <c r="A7" s="200" t="s">
        <v>223</v>
      </c>
      <c r="B7" s="203">
        <v>1682</v>
      </c>
      <c r="C7" s="62"/>
      <c r="D7" s="4">
        <f t="shared" si="0"/>
        <v>504600</v>
      </c>
      <c r="E7" s="4">
        <v>214740</v>
      </c>
      <c r="F7" s="4">
        <f t="shared" si="1"/>
        <v>719340</v>
      </c>
      <c r="G7" s="4">
        <v>1088886.7091711625</v>
      </c>
      <c r="H7" s="4"/>
      <c r="I7" s="4"/>
      <c r="J7" s="4"/>
      <c r="K7" s="4"/>
      <c r="L7" s="4">
        <v>0</v>
      </c>
      <c r="M7" s="4">
        <f t="shared" si="2"/>
        <v>1088886.7091711625</v>
      </c>
      <c r="N7" s="4">
        <f t="shared" si="3"/>
        <v>504600</v>
      </c>
      <c r="O7" s="4">
        <v>0</v>
      </c>
      <c r="P7" s="4">
        <v>0</v>
      </c>
      <c r="Q7" s="4">
        <v>2234390</v>
      </c>
      <c r="R7" s="4"/>
      <c r="S7" s="4"/>
      <c r="T7" s="4">
        <f t="shared" si="4"/>
        <v>2234390</v>
      </c>
      <c r="U7" s="4">
        <f t="shared" si="5"/>
        <v>252300</v>
      </c>
      <c r="V7" s="4">
        <v>0</v>
      </c>
      <c r="W7" s="4"/>
      <c r="X7" s="4"/>
      <c r="Y7" s="4"/>
      <c r="Z7" s="4"/>
      <c r="AA7" s="4"/>
      <c r="AB7" s="84">
        <v>-745450</v>
      </c>
      <c r="AC7" s="202">
        <f t="shared" si="6"/>
        <v>4054066.709171163</v>
      </c>
      <c r="AD7" s="200" t="s">
        <v>223</v>
      </c>
    </row>
    <row r="8" spans="1:30" ht="15">
      <c r="A8" s="200" t="s">
        <v>224</v>
      </c>
      <c r="B8" s="201">
        <v>817</v>
      </c>
      <c r="C8" s="62"/>
      <c r="D8" s="4">
        <f t="shared" si="0"/>
        <v>245100</v>
      </c>
      <c r="E8" s="4">
        <v>0</v>
      </c>
      <c r="F8" s="4">
        <f t="shared" si="1"/>
        <v>245100</v>
      </c>
      <c r="G8" s="4">
        <v>528906.3266307014</v>
      </c>
      <c r="H8" s="4"/>
      <c r="I8" s="4"/>
      <c r="J8" s="4"/>
      <c r="K8" s="4"/>
      <c r="L8" s="4">
        <v>0</v>
      </c>
      <c r="M8" s="4">
        <f t="shared" si="2"/>
        <v>528906.3266307014</v>
      </c>
      <c r="N8" s="4">
        <f t="shared" si="3"/>
        <v>245100</v>
      </c>
      <c r="O8" s="4">
        <v>0</v>
      </c>
      <c r="P8" s="4">
        <v>0</v>
      </c>
      <c r="Q8" s="4">
        <v>1820610</v>
      </c>
      <c r="R8" s="4"/>
      <c r="S8" s="4"/>
      <c r="T8" s="4">
        <f t="shared" si="4"/>
        <v>1820610</v>
      </c>
      <c r="U8" s="4">
        <f t="shared" si="5"/>
        <v>122550</v>
      </c>
      <c r="V8" s="4">
        <v>0</v>
      </c>
      <c r="W8" s="4"/>
      <c r="X8" s="4"/>
      <c r="Y8" s="4"/>
      <c r="Z8" s="4"/>
      <c r="AA8" s="4"/>
      <c r="AB8" s="84">
        <v>-752549</v>
      </c>
      <c r="AC8" s="202">
        <f t="shared" si="6"/>
        <v>2209717.3266307013</v>
      </c>
      <c r="AD8" s="210" t="s">
        <v>224</v>
      </c>
    </row>
    <row r="9" spans="1:30" ht="15">
      <c r="A9" s="200" t="s">
        <v>225</v>
      </c>
      <c r="B9" s="203">
        <v>1708</v>
      </c>
      <c r="C9" s="62"/>
      <c r="D9" s="4">
        <f t="shared" si="0"/>
        <v>512400</v>
      </c>
      <c r="E9" s="4">
        <v>0</v>
      </c>
      <c r="F9" s="4">
        <f t="shared" si="1"/>
        <v>512400</v>
      </c>
      <c r="G9" s="4"/>
      <c r="H9" s="4"/>
      <c r="I9" s="4"/>
      <c r="J9" s="4"/>
      <c r="K9" s="4"/>
      <c r="L9" s="4">
        <v>0</v>
      </c>
      <c r="M9" s="4">
        <f t="shared" si="2"/>
        <v>0</v>
      </c>
      <c r="N9" s="4">
        <f t="shared" si="3"/>
        <v>512400</v>
      </c>
      <c r="O9" s="4">
        <v>0</v>
      </c>
      <c r="P9" s="4">
        <v>0</v>
      </c>
      <c r="Q9" s="4"/>
      <c r="R9" s="4"/>
      <c r="S9" s="4"/>
      <c r="T9" s="4">
        <f t="shared" si="4"/>
        <v>0</v>
      </c>
      <c r="U9" s="4">
        <f t="shared" si="5"/>
        <v>256200</v>
      </c>
      <c r="V9" s="4">
        <v>0</v>
      </c>
      <c r="W9" s="4"/>
      <c r="X9" s="4"/>
      <c r="Y9" s="4"/>
      <c r="Z9" s="4"/>
      <c r="AA9" s="4"/>
      <c r="AB9" s="84"/>
      <c r="AC9" s="202">
        <f t="shared" si="6"/>
        <v>1281000</v>
      </c>
      <c r="AD9" s="200" t="s">
        <v>225</v>
      </c>
    </row>
    <row r="10" spans="1:30" ht="15">
      <c r="A10" s="200" t="s">
        <v>226</v>
      </c>
      <c r="B10" s="201">
        <v>507</v>
      </c>
      <c r="C10" s="62"/>
      <c r="D10" s="4">
        <f t="shared" si="0"/>
        <v>152100</v>
      </c>
      <c r="E10" s="4">
        <v>0</v>
      </c>
      <c r="F10" s="4">
        <f t="shared" si="1"/>
        <v>152100</v>
      </c>
      <c r="G10" s="4">
        <v>328219.7155468367</v>
      </c>
      <c r="H10" s="4"/>
      <c r="I10" s="4"/>
      <c r="J10" s="4"/>
      <c r="K10" s="4"/>
      <c r="L10" s="4">
        <v>0</v>
      </c>
      <c r="M10" s="4">
        <f t="shared" si="2"/>
        <v>328219.7155468367</v>
      </c>
      <c r="N10" s="4">
        <f t="shared" si="3"/>
        <v>152100</v>
      </c>
      <c r="O10" s="4">
        <v>0</v>
      </c>
      <c r="P10" s="4">
        <v>0</v>
      </c>
      <c r="Q10" s="4"/>
      <c r="R10" s="4"/>
      <c r="S10" s="4"/>
      <c r="T10" s="4">
        <f t="shared" si="4"/>
        <v>0</v>
      </c>
      <c r="U10" s="4">
        <f t="shared" si="5"/>
        <v>76050</v>
      </c>
      <c r="V10" s="4">
        <v>0</v>
      </c>
      <c r="W10" s="4"/>
      <c r="X10" s="4"/>
      <c r="Y10" s="4"/>
      <c r="Z10" s="4"/>
      <c r="AA10" s="4"/>
      <c r="AB10" s="84"/>
      <c r="AC10" s="202">
        <f t="shared" si="6"/>
        <v>708469.7155468367</v>
      </c>
      <c r="AD10" s="210" t="s">
        <v>226</v>
      </c>
    </row>
    <row r="11" spans="1:30" ht="15">
      <c r="A11" s="200" t="s">
        <v>227</v>
      </c>
      <c r="B11" s="203">
        <v>2380</v>
      </c>
      <c r="C11" s="62"/>
      <c r="D11" s="4">
        <f t="shared" si="0"/>
        <v>714000</v>
      </c>
      <c r="E11" s="4">
        <v>0</v>
      </c>
      <c r="F11" s="4">
        <f t="shared" si="1"/>
        <v>714000</v>
      </c>
      <c r="G11" s="4">
        <v>1540755.2721922512</v>
      </c>
      <c r="H11" s="4"/>
      <c r="I11" s="4"/>
      <c r="J11" s="4"/>
      <c r="K11" s="4"/>
      <c r="L11" s="4">
        <v>0</v>
      </c>
      <c r="M11" s="4">
        <f t="shared" si="2"/>
        <v>1540755.2721922512</v>
      </c>
      <c r="N11" s="4">
        <f t="shared" si="3"/>
        <v>714000</v>
      </c>
      <c r="O11" s="4">
        <v>0</v>
      </c>
      <c r="P11" s="4">
        <v>0</v>
      </c>
      <c r="Q11" s="4"/>
      <c r="R11" s="4"/>
      <c r="S11" s="4"/>
      <c r="T11" s="4">
        <f t="shared" si="4"/>
        <v>0</v>
      </c>
      <c r="U11" s="4">
        <f t="shared" si="5"/>
        <v>357000</v>
      </c>
      <c r="V11" s="4">
        <v>0</v>
      </c>
      <c r="W11" s="4"/>
      <c r="X11" s="4"/>
      <c r="Y11" s="4"/>
      <c r="Z11" s="4"/>
      <c r="AA11" s="4"/>
      <c r="AB11" s="84"/>
      <c r="AC11" s="202">
        <f t="shared" si="6"/>
        <v>3325755.272192251</v>
      </c>
      <c r="AD11" s="200" t="s">
        <v>227</v>
      </c>
    </row>
    <row r="12" spans="1:30" ht="15">
      <c r="A12" s="200" t="s">
        <v>228</v>
      </c>
      <c r="B12" s="201">
        <v>283</v>
      </c>
      <c r="C12" s="62"/>
      <c r="D12" s="4">
        <f t="shared" si="0"/>
        <v>84900</v>
      </c>
      <c r="E12" s="4">
        <v>0</v>
      </c>
      <c r="F12" s="4">
        <f t="shared" si="1"/>
        <v>84900</v>
      </c>
      <c r="G12" s="4">
        <v>183207.45463462482</v>
      </c>
      <c r="H12" s="4">
        <f>$B12*H$2</f>
        <v>70750</v>
      </c>
      <c r="I12" s="4">
        <f>$B12*I$2</f>
        <v>183950</v>
      </c>
      <c r="J12" s="4"/>
      <c r="K12" s="4"/>
      <c r="L12" s="4">
        <v>0</v>
      </c>
      <c r="M12" s="4">
        <f t="shared" si="2"/>
        <v>437907.4546346248</v>
      </c>
      <c r="N12" s="4">
        <f t="shared" si="3"/>
        <v>84900</v>
      </c>
      <c r="O12" s="4">
        <v>0</v>
      </c>
      <c r="P12" s="4">
        <v>0</v>
      </c>
      <c r="Q12" s="4"/>
      <c r="R12" s="4"/>
      <c r="S12" s="4"/>
      <c r="T12" s="4">
        <f t="shared" si="4"/>
        <v>0</v>
      </c>
      <c r="U12" s="4">
        <f t="shared" si="5"/>
        <v>42450</v>
      </c>
      <c r="V12" s="4">
        <v>0</v>
      </c>
      <c r="W12" s="4"/>
      <c r="X12" s="4"/>
      <c r="Y12" s="4"/>
      <c r="Z12" s="4"/>
      <c r="AA12" s="4"/>
      <c r="AB12" s="84"/>
      <c r="AC12" s="202">
        <f t="shared" si="6"/>
        <v>650157.4546346248</v>
      </c>
      <c r="AD12" s="210" t="s">
        <v>228</v>
      </c>
    </row>
    <row r="13" spans="1:30" ht="15">
      <c r="A13" s="200" t="s">
        <v>229</v>
      </c>
      <c r="B13" s="203">
        <v>309</v>
      </c>
      <c r="C13" s="62"/>
      <c r="D13" s="4">
        <f t="shared" si="0"/>
        <v>92700</v>
      </c>
      <c r="E13" s="4">
        <v>495300</v>
      </c>
      <c r="F13" s="4">
        <f t="shared" si="1"/>
        <v>588000</v>
      </c>
      <c r="G13" s="4">
        <v>200039.234919078</v>
      </c>
      <c r="H13" s="4"/>
      <c r="I13" s="4"/>
      <c r="J13" s="4"/>
      <c r="K13" s="4"/>
      <c r="L13" s="4">
        <v>19750</v>
      </c>
      <c r="M13" s="4">
        <f t="shared" si="2"/>
        <v>219789.234919078</v>
      </c>
      <c r="N13" s="4">
        <f t="shared" si="3"/>
        <v>92700</v>
      </c>
      <c r="O13" s="4">
        <v>160500</v>
      </c>
      <c r="P13" s="4">
        <v>0</v>
      </c>
      <c r="Q13" s="4"/>
      <c r="R13" s="4"/>
      <c r="S13" s="4"/>
      <c r="T13" s="4">
        <f t="shared" si="4"/>
        <v>0</v>
      </c>
      <c r="U13" s="4">
        <v>0</v>
      </c>
      <c r="V13" s="4">
        <v>0</v>
      </c>
      <c r="W13" s="4"/>
      <c r="X13" s="4"/>
      <c r="Y13" s="4"/>
      <c r="Z13" s="4"/>
      <c r="AA13" s="4"/>
      <c r="AB13" s="84"/>
      <c r="AC13" s="202">
        <f t="shared" si="6"/>
        <v>1060989.234919078</v>
      </c>
      <c r="AD13" s="200" t="s">
        <v>229</v>
      </c>
    </row>
    <row r="14" spans="1:30" ht="15">
      <c r="A14" s="200" t="s">
        <v>230</v>
      </c>
      <c r="B14" s="201">
        <v>90</v>
      </c>
      <c r="C14" s="62"/>
      <c r="D14" s="4">
        <f t="shared" si="0"/>
        <v>27000</v>
      </c>
      <c r="E14" s="4">
        <v>0</v>
      </c>
      <c r="F14" s="4">
        <f t="shared" si="1"/>
        <v>27000</v>
      </c>
      <c r="G14" s="4">
        <v>58263.85483079941</v>
      </c>
      <c r="H14" s="4"/>
      <c r="I14" s="4"/>
      <c r="J14" s="4"/>
      <c r="K14" s="4"/>
      <c r="L14" s="4">
        <v>0</v>
      </c>
      <c r="M14" s="4">
        <f t="shared" si="2"/>
        <v>58263.85483079941</v>
      </c>
      <c r="N14" s="4">
        <f t="shared" si="3"/>
        <v>27000</v>
      </c>
      <c r="O14" s="4">
        <v>0</v>
      </c>
      <c r="P14" s="4">
        <v>0</v>
      </c>
      <c r="Q14" s="4"/>
      <c r="R14" s="4"/>
      <c r="S14" s="4"/>
      <c r="T14" s="4">
        <f t="shared" si="4"/>
        <v>0</v>
      </c>
      <c r="U14" s="4">
        <f>B14*U$2</f>
        <v>13500</v>
      </c>
      <c r="V14" s="4">
        <v>0</v>
      </c>
      <c r="W14" s="4"/>
      <c r="X14" s="4"/>
      <c r="Y14" s="4"/>
      <c r="Z14" s="4"/>
      <c r="AA14" s="4"/>
      <c r="AB14" s="84"/>
      <c r="AC14" s="202">
        <f t="shared" si="6"/>
        <v>125763.85483079942</v>
      </c>
      <c r="AD14" s="210" t="s">
        <v>230</v>
      </c>
    </row>
    <row r="15" spans="1:30" ht="15">
      <c r="A15" s="200" t="s">
        <v>231</v>
      </c>
      <c r="B15" s="203">
        <v>349</v>
      </c>
      <c r="C15" s="62"/>
      <c r="D15" s="4">
        <f t="shared" si="0"/>
        <v>104700</v>
      </c>
      <c r="E15" s="4">
        <v>0</v>
      </c>
      <c r="F15" s="4">
        <f t="shared" si="1"/>
        <v>104700</v>
      </c>
      <c r="G15" s="4">
        <v>225934.28151054442</v>
      </c>
      <c r="H15" s="4"/>
      <c r="I15" s="4"/>
      <c r="J15" s="4"/>
      <c r="K15" s="4"/>
      <c r="L15" s="4">
        <v>0</v>
      </c>
      <c r="M15" s="4">
        <f t="shared" si="2"/>
        <v>225934.28151054442</v>
      </c>
      <c r="N15" s="4">
        <f t="shared" si="3"/>
        <v>104700</v>
      </c>
      <c r="O15" s="4">
        <v>0</v>
      </c>
      <c r="P15" s="4">
        <v>0</v>
      </c>
      <c r="Q15" s="4"/>
      <c r="R15" s="4"/>
      <c r="S15" s="4"/>
      <c r="T15" s="4">
        <f t="shared" si="4"/>
        <v>0</v>
      </c>
      <c r="U15" s="4">
        <v>0</v>
      </c>
      <c r="V15" s="4">
        <v>0</v>
      </c>
      <c r="W15" s="4"/>
      <c r="X15" s="4"/>
      <c r="Y15" s="4"/>
      <c r="Z15" s="4"/>
      <c r="AA15" s="4"/>
      <c r="AB15" s="84"/>
      <c r="AC15" s="202">
        <f t="shared" si="6"/>
        <v>435334.2815105444</v>
      </c>
      <c r="AD15" s="200" t="s">
        <v>231</v>
      </c>
    </row>
    <row r="16" spans="1:30" ht="15">
      <c r="A16" s="200" t="s">
        <v>232</v>
      </c>
      <c r="B16" s="201">
        <v>264</v>
      </c>
      <c r="C16" s="62"/>
      <c r="D16" s="4">
        <f t="shared" si="0"/>
        <v>79200</v>
      </c>
      <c r="E16" s="4">
        <v>0</v>
      </c>
      <c r="F16" s="4">
        <f t="shared" si="1"/>
        <v>79200</v>
      </c>
      <c r="G16" s="4"/>
      <c r="H16" s="4"/>
      <c r="I16" s="4"/>
      <c r="J16" s="4"/>
      <c r="K16" s="4"/>
      <c r="L16" s="4">
        <v>0</v>
      </c>
      <c r="M16" s="4">
        <f t="shared" si="2"/>
        <v>0</v>
      </c>
      <c r="N16" s="4">
        <f t="shared" si="3"/>
        <v>79200</v>
      </c>
      <c r="O16" s="4">
        <v>0</v>
      </c>
      <c r="P16" s="4">
        <v>0</v>
      </c>
      <c r="Q16" s="4"/>
      <c r="R16" s="4"/>
      <c r="S16" s="4"/>
      <c r="T16" s="4">
        <f t="shared" si="4"/>
        <v>0</v>
      </c>
      <c r="U16" s="4">
        <f>B16*U$2</f>
        <v>39600</v>
      </c>
      <c r="V16" s="4">
        <v>0</v>
      </c>
      <c r="W16" s="4"/>
      <c r="X16" s="4"/>
      <c r="Y16" s="4"/>
      <c r="Z16" s="4"/>
      <c r="AA16" s="4"/>
      <c r="AB16" s="84"/>
      <c r="AC16" s="202">
        <f t="shared" si="6"/>
        <v>198000</v>
      </c>
      <c r="AD16" s="210" t="s">
        <v>232</v>
      </c>
    </row>
    <row r="17" spans="1:30" ht="15">
      <c r="A17" s="200" t="s">
        <v>233</v>
      </c>
      <c r="B17" s="203">
        <v>48</v>
      </c>
      <c r="C17" s="62"/>
      <c r="D17" s="4">
        <f t="shared" si="0"/>
        <v>14400</v>
      </c>
      <c r="E17" s="4">
        <v>0</v>
      </c>
      <c r="F17" s="4">
        <f t="shared" si="1"/>
        <v>14400</v>
      </c>
      <c r="G17" s="4">
        <v>31074.05590975969</v>
      </c>
      <c r="H17" s="4"/>
      <c r="I17" s="4"/>
      <c r="J17" s="4"/>
      <c r="K17" s="4"/>
      <c r="L17" s="4">
        <v>0</v>
      </c>
      <c r="M17" s="4">
        <f t="shared" si="2"/>
        <v>31074.05590975969</v>
      </c>
      <c r="N17" s="4">
        <f t="shared" si="3"/>
        <v>14400</v>
      </c>
      <c r="O17" s="4">
        <v>0</v>
      </c>
      <c r="P17" s="4">
        <v>0</v>
      </c>
      <c r="Q17" s="4"/>
      <c r="R17" s="4"/>
      <c r="S17" s="4"/>
      <c r="T17" s="4">
        <f t="shared" si="4"/>
        <v>0</v>
      </c>
      <c r="U17" s="4">
        <v>0</v>
      </c>
      <c r="V17" s="4">
        <v>0</v>
      </c>
      <c r="W17" s="4"/>
      <c r="X17" s="4"/>
      <c r="Y17" s="4"/>
      <c r="Z17" s="4"/>
      <c r="AA17" s="4"/>
      <c r="AB17" s="84"/>
      <c r="AC17" s="202">
        <f t="shared" si="6"/>
        <v>59874.055909759685</v>
      </c>
      <c r="AD17" s="200" t="s">
        <v>233</v>
      </c>
    </row>
    <row r="18" spans="1:30" ht="15">
      <c r="A18" s="200" t="s">
        <v>234</v>
      </c>
      <c r="B18" s="201">
        <v>340</v>
      </c>
      <c r="C18" s="62"/>
      <c r="D18" s="4">
        <f t="shared" si="0"/>
        <v>102000</v>
      </c>
      <c r="E18" s="4">
        <v>100800</v>
      </c>
      <c r="F18" s="4">
        <f t="shared" si="1"/>
        <v>202800</v>
      </c>
      <c r="G18" s="4">
        <v>220107.89602746445</v>
      </c>
      <c r="H18" s="4">
        <f>$B18*H$2</f>
        <v>85000</v>
      </c>
      <c r="I18" s="4">
        <f>$B18*I$2</f>
        <v>221000</v>
      </c>
      <c r="J18" s="4"/>
      <c r="K18" s="4"/>
      <c r="L18" s="4">
        <v>428400</v>
      </c>
      <c r="M18" s="4">
        <f t="shared" si="2"/>
        <v>954507.8960274644</v>
      </c>
      <c r="N18" s="4">
        <f t="shared" si="3"/>
        <v>102000</v>
      </c>
      <c r="O18" s="4">
        <v>84000</v>
      </c>
      <c r="P18" s="4">
        <v>195840</v>
      </c>
      <c r="Q18" s="4">
        <v>91090</v>
      </c>
      <c r="R18" s="4"/>
      <c r="S18" s="4"/>
      <c r="T18" s="4">
        <f t="shared" si="4"/>
        <v>286930</v>
      </c>
      <c r="U18" s="4">
        <f>B18*U$2</f>
        <v>51000</v>
      </c>
      <c r="V18" s="4">
        <v>43593</v>
      </c>
      <c r="W18" s="4"/>
      <c r="X18" s="4"/>
      <c r="Y18" s="4"/>
      <c r="Z18" s="4"/>
      <c r="AA18" s="4"/>
      <c r="AB18" s="84">
        <v>-73020</v>
      </c>
      <c r="AC18" s="202">
        <f t="shared" si="6"/>
        <v>1651810.8960274644</v>
      </c>
      <c r="AD18" s="210" t="s">
        <v>234</v>
      </c>
    </row>
    <row r="19" spans="1:30" ht="15">
      <c r="A19" s="200" t="s">
        <v>235</v>
      </c>
      <c r="B19" s="203">
        <v>2340</v>
      </c>
      <c r="C19" s="62"/>
      <c r="D19" s="4">
        <f t="shared" si="0"/>
        <v>702000</v>
      </c>
      <c r="E19" s="4">
        <v>0</v>
      </c>
      <c r="F19" s="4">
        <f t="shared" si="1"/>
        <v>702000</v>
      </c>
      <c r="G19" s="4">
        <v>1514860.2256007849</v>
      </c>
      <c r="H19" s="4"/>
      <c r="I19" s="4"/>
      <c r="J19" s="4"/>
      <c r="K19" s="4"/>
      <c r="L19" s="4">
        <v>0</v>
      </c>
      <c r="M19" s="4">
        <f t="shared" si="2"/>
        <v>1514860.2256007849</v>
      </c>
      <c r="N19" s="4">
        <f t="shared" si="3"/>
        <v>702000</v>
      </c>
      <c r="O19" s="4">
        <v>0</v>
      </c>
      <c r="P19" s="4">
        <v>0</v>
      </c>
      <c r="Q19" s="4"/>
      <c r="R19" s="4"/>
      <c r="S19" s="4"/>
      <c r="T19" s="4">
        <f t="shared" si="4"/>
        <v>0</v>
      </c>
      <c r="U19" s="4">
        <f>B19*U$2</f>
        <v>351000</v>
      </c>
      <c r="V19" s="4">
        <v>0</v>
      </c>
      <c r="W19" s="4"/>
      <c r="X19" s="4"/>
      <c r="Y19" s="4"/>
      <c r="Z19" s="4"/>
      <c r="AA19" s="4"/>
      <c r="AB19" s="84"/>
      <c r="AC19" s="202">
        <f t="shared" si="6"/>
        <v>3269860.2256007846</v>
      </c>
      <c r="AD19" s="200" t="s">
        <v>235</v>
      </c>
    </row>
    <row r="20" spans="1:30" ht="15">
      <c r="A20" s="200" t="s">
        <v>236</v>
      </c>
      <c r="B20" s="201">
        <v>40</v>
      </c>
      <c r="C20" s="62"/>
      <c r="D20" s="4">
        <f t="shared" si="0"/>
        <v>12000</v>
      </c>
      <c r="E20" s="4">
        <v>0</v>
      </c>
      <c r="F20" s="4">
        <f t="shared" si="1"/>
        <v>12000</v>
      </c>
      <c r="G20" s="4">
        <v>25895.04659146641</v>
      </c>
      <c r="H20" s="4"/>
      <c r="I20" s="4"/>
      <c r="J20" s="4"/>
      <c r="K20" s="4"/>
      <c r="L20" s="4">
        <v>0</v>
      </c>
      <c r="M20" s="4">
        <f t="shared" si="2"/>
        <v>25895.04659146641</v>
      </c>
      <c r="N20" s="4">
        <f t="shared" si="3"/>
        <v>12000</v>
      </c>
      <c r="O20" s="4">
        <v>0</v>
      </c>
      <c r="P20" s="4">
        <v>0</v>
      </c>
      <c r="Q20" s="4"/>
      <c r="R20" s="4"/>
      <c r="S20" s="4"/>
      <c r="T20" s="4">
        <f t="shared" si="4"/>
        <v>0</v>
      </c>
      <c r="U20" s="4">
        <f>B20*U$2</f>
        <v>6000</v>
      </c>
      <c r="V20" s="4">
        <v>0</v>
      </c>
      <c r="W20" s="4"/>
      <c r="X20" s="4"/>
      <c r="Y20" s="4"/>
      <c r="Z20" s="4"/>
      <c r="AA20" s="4"/>
      <c r="AB20" s="84"/>
      <c r="AC20" s="202">
        <f t="shared" si="6"/>
        <v>55895.04659146641</v>
      </c>
      <c r="AD20" s="210" t="s">
        <v>236</v>
      </c>
    </row>
    <row r="21" spans="1:30" ht="15">
      <c r="A21" s="200" t="s">
        <v>237</v>
      </c>
      <c r="B21" s="203">
        <v>11806</v>
      </c>
      <c r="C21" s="62"/>
      <c r="D21" s="4">
        <f t="shared" si="0"/>
        <v>3541800</v>
      </c>
      <c r="E21" s="4">
        <v>0</v>
      </c>
      <c r="F21" s="4">
        <f t="shared" si="1"/>
        <v>3541800</v>
      </c>
      <c r="G21" s="4">
        <v>7642923.00147131</v>
      </c>
      <c r="H21" s="4">
        <f>$B21*H$2</f>
        <v>2951500</v>
      </c>
      <c r="I21" s="4">
        <f>$B21*I$2</f>
        <v>7673900</v>
      </c>
      <c r="J21" s="62">
        <v>29874000</v>
      </c>
      <c r="K21" s="4">
        <f>123775000+7051000</f>
        <v>130826000</v>
      </c>
      <c r="L21" s="4">
        <v>0</v>
      </c>
      <c r="M21" s="4">
        <f t="shared" si="2"/>
        <v>178968323.0014713</v>
      </c>
      <c r="N21" s="97">
        <f t="shared" si="3"/>
        <v>3541800</v>
      </c>
      <c r="O21" s="97">
        <v>0</v>
      </c>
      <c r="P21" s="97">
        <v>0</v>
      </c>
      <c r="Q21" s="97">
        <f>28965230-747000</f>
        <v>28218230</v>
      </c>
      <c r="R21" s="97">
        <v>228295000</v>
      </c>
      <c r="S21" s="97">
        <f>1319000+1520000</f>
        <v>2839000</v>
      </c>
      <c r="T21" s="97">
        <f>SUM(P21:S21)</f>
        <v>259352230</v>
      </c>
      <c r="U21" s="4">
        <f>B21*U$2</f>
        <v>1770900</v>
      </c>
      <c r="V21" s="97">
        <v>0</v>
      </c>
      <c r="W21" s="97">
        <v>237000</v>
      </c>
      <c r="X21" s="97"/>
      <c r="Y21" s="97"/>
      <c r="Z21" s="97"/>
      <c r="AA21" s="4"/>
      <c r="AB21" s="84">
        <v>-6449518</v>
      </c>
      <c r="AC21" s="202">
        <f t="shared" si="6"/>
        <v>440962535.0014713</v>
      </c>
      <c r="AD21" s="200" t="s">
        <v>237</v>
      </c>
    </row>
    <row r="22" spans="1:30" ht="15">
      <c r="A22" s="200" t="s">
        <v>238</v>
      </c>
      <c r="B22" s="201">
        <v>1366</v>
      </c>
      <c r="C22" s="62"/>
      <c r="D22" s="4">
        <f t="shared" si="0"/>
        <v>409800</v>
      </c>
      <c r="E22" s="4">
        <v>820500</v>
      </c>
      <c r="F22" s="4">
        <f t="shared" si="1"/>
        <v>1230300</v>
      </c>
      <c r="G22" s="4">
        <v>884315.8410985778</v>
      </c>
      <c r="H22" s="4"/>
      <c r="I22" s="4"/>
      <c r="J22" s="4"/>
      <c r="K22" s="4"/>
      <c r="L22" s="4">
        <v>0</v>
      </c>
      <c r="M22" s="4">
        <f t="shared" si="2"/>
        <v>884315.8410985778</v>
      </c>
      <c r="N22" s="4">
        <f t="shared" si="3"/>
        <v>409800</v>
      </c>
      <c r="O22" s="4">
        <v>0</v>
      </c>
      <c r="P22" s="4">
        <v>0</v>
      </c>
      <c r="Q22" s="4"/>
      <c r="R22" s="4"/>
      <c r="S22" s="4"/>
      <c r="T22" s="4">
        <f t="shared" si="4"/>
        <v>0</v>
      </c>
      <c r="U22" s="4">
        <v>0</v>
      </c>
      <c r="V22" s="4">
        <v>0</v>
      </c>
      <c r="W22" s="4"/>
      <c r="X22" s="4"/>
      <c r="Y22" s="4">
        <v>185000</v>
      </c>
      <c r="Z22" s="4"/>
      <c r="AA22" s="4"/>
      <c r="AB22" s="84"/>
      <c r="AC22" s="202">
        <f t="shared" si="6"/>
        <v>2709415.8410985777</v>
      </c>
      <c r="AD22" s="210" t="s">
        <v>238</v>
      </c>
    </row>
    <row r="23" spans="1:30" ht="15">
      <c r="A23" s="200" t="s">
        <v>239</v>
      </c>
      <c r="B23" s="203">
        <v>512</v>
      </c>
      <c r="C23" s="62"/>
      <c r="D23" s="4">
        <f t="shared" si="0"/>
        <v>153600</v>
      </c>
      <c r="E23" s="4">
        <v>0</v>
      </c>
      <c r="F23" s="4">
        <f t="shared" si="1"/>
        <v>153600</v>
      </c>
      <c r="G23" s="4">
        <v>331456.59637077</v>
      </c>
      <c r="H23" s="4">
        <f>$B23*H$2</f>
        <v>128000</v>
      </c>
      <c r="I23" s="4">
        <f>$B23*I$2</f>
        <v>332800</v>
      </c>
      <c r="J23" s="4"/>
      <c r="K23" s="4"/>
      <c r="L23" s="4">
        <v>0</v>
      </c>
      <c r="M23" s="4">
        <f t="shared" si="2"/>
        <v>792256.59637077</v>
      </c>
      <c r="N23" s="4">
        <f t="shared" si="3"/>
        <v>153600</v>
      </c>
      <c r="O23" s="4">
        <v>0</v>
      </c>
      <c r="P23" s="4">
        <v>0</v>
      </c>
      <c r="Q23" s="4"/>
      <c r="R23" s="4"/>
      <c r="S23" s="4"/>
      <c r="T23" s="4">
        <f t="shared" si="4"/>
        <v>0</v>
      </c>
      <c r="U23" s="4">
        <v>0</v>
      </c>
      <c r="V23" s="4">
        <v>0</v>
      </c>
      <c r="W23" s="4"/>
      <c r="X23" s="4"/>
      <c r="Y23" s="4"/>
      <c r="Z23" s="4"/>
      <c r="AA23" s="4"/>
      <c r="AB23" s="84"/>
      <c r="AC23" s="202">
        <f t="shared" si="6"/>
        <v>1099456.5963707701</v>
      </c>
      <c r="AD23" s="200" t="s">
        <v>239</v>
      </c>
    </row>
    <row r="24" spans="1:30" ht="15">
      <c r="A24" s="200" t="s">
        <v>240</v>
      </c>
      <c r="B24" s="201">
        <v>783</v>
      </c>
      <c r="C24" s="62"/>
      <c r="D24" s="4">
        <f t="shared" si="0"/>
        <v>234900</v>
      </c>
      <c r="E24" s="4">
        <v>0</v>
      </c>
      <c r="F24" s="4">
        <f t="shared" si="1"/>
        <v>234900</v>
      </c>
      <c r="G24" s="4">
        <v>506895.53702795494</v>
      </c>
      <c r="H24" s="4"/>
      <c r="I24" s="4"/>
      <c r="J24" s="4"/>
      <c r="K24" s="4"/>
      <c r="L24" s="4">
        <v>0</v>
      </c>
      <c r="M24" s="4">
        <f t="shared" si="2"/>
        <v>506895.53702795494</v>
      </c>
      <c r="N24" s="4">
        <f t="shared" si="3"/>
        <v>234900</v>
      </c>
      <c r="O24" s="4">
        <v>0</v>
      </c>
      <c r="P24" s="4">
        <v>0</v>
      </c>
      <c r="Q24" s="4"/>
      <c r="R24" s="4"/>
      <c r="S24" s="4"/>
      <c r="T24" s="4">
        <f t="shared" si="4"/>
        <v>0</v>
      </c>
      <c r="U24" s="4">
        <f>B24*U$2</f>
        <v>117450</v>
      </c>
      <c r="V24" s="4">
        <v>0</v>
      </c>
      <c r="W24" s="4"/>
      <c r="X24" s="4"/>
      <c r="Y24" s="4"/>
      <c r="Z24" s="4"/>
      <c r="AA24" s="4"/>
      <c r="AB24" s="84"/>
      <c r="AC24" s="202">
        <f t="shared" si="6"/>
        <v>1094145.537027955</v>
      </c>
      <c r="AD24" s="210" t="s">
        <v>240</v>
      </c>
    </row>
    <row r="25" spans="1:30" ht="15">
      <c r="A25" s="200" t="s">
        <v>241</v>
      </c>
      <c r="B25" s="203">
        <v>131</v>
      </c>
      <c r="C25" s="62"/>
      <c r="D25" s="4">
        <f t="shared" si="0"/>
        <v>39300</v>
      </c>
      <c r="E25" s="4">
        <v>0</v>
      </c>
      <c r="F25" s="4">
        <f t="shared" si="1"/>
        <v>39300</v>
      </c>
      <c r="G25" s="4">
        <v>84806.27758705248</v>
      </c>
      <c r="H25" s="4"/>
      <c r="I25" s="4"/>
      <c r="J25" s="4"/>
      <c r="K25" s="4"/>
      <c r="L25" s="4">
        <v>0</v>
      </c>
      <c r="M25" s="4">
        <f t="shared" si="2"/>
        <v>84806.27758705248</v>
      </c>
      <c r="N25" s="4">
        <f t="shared" si="3"/>
        <v>39300</v>
      </c>
      <c r="O25" s="4">
        <v>0</v>
      </c>
      <c r="P25" s="4">
        <v>0</v>
      </c>
      <c r="Q25" s="4"/>
      <c r="R25" s="4"/>
      <c r="S25" s="4"/>
      <c r="T25" s="4">
        <f t="shared" si="4"/>
        <v>0</v>
      </c>
      <c r="U25" s="4">
        <f>B25*U$2</f>
        <v>19650</v>
      </c>
      <c r="V25" s="4">
        <v>0</v>
      </c>
      <c r="W25" s="4"/>
      <c r="X25" s="4"/>
      <c r="Y25" s="4"/>
      <c r="Z25" s="4"/>
      <c r="AA25" s="4"/>
      <c r="AB25" s="84"/>
      <c r="AC25" s="202">
        <f t="shared" si="6"/>
        <v>183056.2775870525</v>
      </c>
      <c r="AD25" s="200" t="s">
        <v>241</v>
      </c>
    </row>
    <row r="26" spans="1:30" ht="15">
      <c r="A26" s="200" t="s">
        <v>242</v>
      </c>
      <c r="B26" s="201">
        <v>793</v>
      </c>
      <c r="C26" s="62"/>
      <c r="D26" s="4">
        <f t="shared" si="0"/>
        <v>237900</v>
      </c>
      <c r="E26" s="4">
        <v>601050</v>
      </c>
      <c r="F26" s="4">
        <f t="shared" si="1"/>
        <v>838950</v>
      </c>
      <c r="G26" s="4">
        <v>513369.2986758215</v>
      </c>
      <c r="H26" s="4">
        <f>$B26*H$2</f>
        <v>198250</v>
      </c>
      <c r="I26" s="4">
        <f>$B26*I$2</f>
        <v>515450</v>
      </c>
      <c r="J26" s="4"/>
      <c r="K26" s="4"/>
      <c r="L26" s="4">
        <v>1371300</v>
      </c>
      <c r="M26" s="4">
        <f t="shared" si="2"/>
        <v>2598369.2986758216</v>
      </c>
      <c r="N26" s="4">
        <f t="shared" si="3"/>
        <v>237900</v>
      </c>
      <c r="O26" s="4">
        <v>197500</v>
      </c>
      <c r="P26" s="4">
        <f>1942000+3017681</f>
        <v>4959681</v>
      </c>
      <c r="Q26" s="4">
        <v>1245000</v>
      </c>
      <c r="R26" s="4"/>
      <c r="S26" s="4"/>
      <c r="T26" s="4">
        <f t="shared" si="4"/>
        <v>6204681</v>
      </c>
      <c r="U26" s="4">
        <f>B26*U$2</f>
        <v>118950</v>
      </c>
      <c r="V26" s="4">
        <v>204211</v>
      </c>
      <c r="W26" s="4"/>
      <c r="X26" s="4"/>
      <c r="Y26" s="4"/>
      <c r="Z26" s="4"/>
      <c r="AA26" s="4"/>
      <c r="AB26" s="84">
        <v>1619000</v>
      </c>
      <c r="AC26" s="202">
        <f t="shared" si="6"/>
        <v>12019561.298675822</v>
      </c>
      <c r="AD26" s="210" t="s">
        <v>242</v>
      </c>
    </row>
    <row r="27" spans="1:30" ht="15">
      <c r="A27" s="200" t="s">
        <v>243</v>
      </c>
      <c r="B27" s="203">
        <v>791</v>
      </c>
      <c r="C27" s="62"/>
      <c r="D27" s="4">
        <f t="shared" si="0"/>
        <v>237300</v>
      </c>
      <c r="E27" s="4">
        <v>0</v>
      </c>
      <c r="F27" s="4">
        <f t="shared" si="1"/>
        <v>237300</v>
      </c>
      <c r="G27" s="4">
        <v>512074.5463462482</v>
      </c>
      <c r="H27" s="4"/>
      <c r="I27" s="4"/>
      <c r="J27" s="4"/>
      <c r="K27" s="4"/>
      <c r="L27" s="4">
        <v>287105</v>
      </c>
      <c r="M27" s="4">
        <f t="shared" si="2"/>
        <v>799179.5463462481</v>
      </c>
      <c r="N27" s="4">
        <f t="shared" si="3"/>
        <v>237300</v>
      </c>
      <c r="O27" s="4">
        <v>0</v>
      </c>
      <c r="P27" s="4">
        <v>0</v>
      </c>
      <c r="Q27" s="4"/>
      <c r="R27" s="4"/>
      <c r="S27" s="4"/>
      <c r="T27" s="4">
        <f t="shared" si="4"/>
        <v>0</v>
      </c>
      <c r="U27" s="4">
        <v>0</v>
      </c>
      <c r="V27" s="4">
        <v>0</v>
      </c>
      <c r="W27" s="4"/>
      <c r="X27" s="4"/>
      <c r="Y27" s="4"/>
      <c r="Z27" s="4"/>
      <c r="AA27" s="4"/>
      <c r="AB27" s="84"/>
      <c r="AC27" s="202">
        <f t="shared" si="6"/>
        <v>1273779.5463462481</v>
      </c>
      <c r="AD27" s="200" t="s">
        <v>243</v>
      </c>
    </row>
    <row r="28" spans="1:30" ht="15">
      <c r="A28" s="200" t="s">
        <v>244</v>
      </c>
      <c r="B28" s="201">
        <v>890</v>
      </c>
      <c r="C28" s="62"/>
      <c r="D28" s="4">
        <f t="shared" si="0"/>
        <v>267000</v>
      </c>
      <c r="E28" s="4">
        <v>0</v>
      </c>
      <c r="F28" s="4">
        <f t="shared" si="1"/>
        <v>267000</v>
      </c>
      <c r="G28" s="4">
        <v>576164.7866601276</v>
      </c>
      <c r="H28" s="4"/>
      <c r="I28" s="4"/>
      <c r="J28" s="4"/>
      <c r="K28" s="4"/>
      <c r="L28" s="4">
        <v>0</v>
      </c>
      <c r="M28" s="4">
        <f t="shared" si="2"/>
        <v>576164.7866601276</v>
      </c>
      <c r="N28" s="4">
        <f t="shared" si="3"/>
        <v>267000</v>
      </c>
      <c r="O28" s="4">
        <v>0</v>
      </c>
      <c r="P28" s="4">
        <v>0</v>
      </c>
      <c r="Q28" s="4"/>
      <c r="R28" s="4"/>
      <c r="S28" s="4"/>
      <c r="T28" s="4">
        <f t="shared" si="4"/>
        <v>0</v>
      </c>
      <c r="U28" s="4">
        <f>B28*U$2</f>
        <v>133500</v>
      </c>
      <c r="V28" s="4">
        <v>0</v>
      </c>
      <c r="W28" s="4"/>
      <c r="X28" s="4"/>
      <c r="Y28" s="4"/>
      <c r="Z28" s="4"/>
      <c r="AA28" s="4"/>
      <c r="AB28" s="84"/>
      <c r="AC28" s="202">
        <f t="shared" si="6"/>
        <v>1243664.7866601276</v>
      </c>
      <c r="AD28" s="210" t="s">
        <v>244</v>
      </c>
    </row>
    <row r="29" spans="1:30" ht="15">
      <c r="A29" s="200" t="s">
        <v>245</v>
      </c>
      <c r="B29" s="203">
        <v>557</v>
      </c>
      <c r="C29" s="62"/>
      <c r="D29" s="4">
        <f t="shared" si="0"/>
        <v>167100</v>
      </c>
      <c r="E29" s="4">
        <v>85200</v>
      </c>
      <c r="F29" s="4">
        <f t="shared" si="1"/>
        <v>252300</v>
      </c>
      <c r="G29" s="4">
        <v>360588.5237861697</v>
      </c>
      <c r="H29" s="4">
        <f>$B29*H$2</f>
        <v>139250</v>
      </c>
      <c r="I29" s="4">
        <f>$B29*I$2</f>
        <v>362050</v>
      </c>
      <c r="J29" s="4"/>
      <c r="K29" s="4"/>
      <c r="L29" s="4">
        <v>362100</v>
      </c>
      <c r="M29" s="4">
        <f t="shared" si="2"/>
        <v>1223988.5237861697</v>
      </c>
      <c r="N29" s="4">
        <f t="shared" si="3"/>
        <v>167100</v>
      </c>
      <c r="O29" s="4">
        <v>71000</v>
      </c>
      <c r="P29" s="4">
        <v>1133000</v>
      </c>
      <c r="Q29" s="4">
        <v>2234000</v>
      </c>
      <c r="R29" s="4"/>
      <c r="S29" s="4"/>
      <c r="T29" s="4">
        <f t="shared" si="4"/>
        <v>3367000</v>
      </c>
      <c r="U29" s="4">
        <f>B29*U$2</f>
        <v>83550</v>
      </c>
      <c r="V29" s="4">
        <v>25492</v>
      </c>
      <c r="W29" s="4"/>
      <c r="X29" s="4"/>
      <c r="Y29" s="4"/>
      <c r="Z29" s="4"/>
      <c r="AA29" s="4"/>
      <c r="AB29" s="84">
        <v>1788000</v>
      </c>
      <c r="AC29" s="202">
        <f t="shared" si="6"/>
        <v>6978430.5237861695</v>
      </c>
      <c r="AD29" s="200" t="s">
        <v>245</v>
      </c>
    </row>
    <row r="30" spans="1:30" ht="15">
      <c r="A30" s="200" t="s">
        <v>246</v>
      </c>
      <c r="B30" s="201">
        <v>575</v>
      </c>
      <c r="C30" s="62"/>
      <c r="D30" s="4">
        <f t="shared" si="0"/>
        <v>172500</v>
      </c>
      <c r="E30" s="4">
        <v>83850</v>
      </c>
      <c r="F30" s="4">
        <f t="shared" si="1"/>
        <v>256350</v>
      </c>
      <c r="G30" s="4">
        <v>372241.2947523296</v>
      </c>
      <c r="H30" s="4"/>
      <c r="I30" s="4"/>
      <c r="J30" s="4"/>
      <c r="K30" s="4"/>
      <c r="L30" s="4">
        <v>104812</v>
      </c>
      <c r="M30" s="4">
        <f t="shared" si="2"/>
        <v>477053.2947523296</v>
      </c>
      <c r="N30" s="4"/>
      <c r="O30" s="4">
        <v>0</v>
      </c>
      <c r="P30" s="4">
        <v>0</v>
      </c>
      <c r="Q30" s="4"/>
      <c r="R30" s="4"/>
      <c r="S30" s="4"/>
      <c r="T30" s="4">
        <f t="shared" si="4"/>
        <v>0</v>
      </c>
      <c r="U30" s="4">
        <v>0</v>
      </c>
      <c r="V30" s="4">
        <v>0</v>
      </c>
      <c r="W30" s="4"/>
      <c r="X30" s="4"/>
      <c r="Y30" s="4"/>
      <c r="Z30" s="4"/>
      <c r="AA30" s="4"/>
      <c r="AB30" s="84"/>
      <c r="AC30" s="202">
        <f t="shared" si="6"/>
        <v>733403.2947523296</v>
      </c>
      <c r="AD30" s="210" t="s">
        <v>246</v>
      </c>
    </row>
    <row r="31" spans="1:30" ht="15">
      <c r="A31" s="200" t="s">
        <v>247</v>
      </c>
      <c r="B31" s="203">
        <v>764</v>
      </c>
      <c r="C31" s="62"/>
      <c r="D31" s="4">
        <f t="shared" si="0"/>
        <v>229200</v>
      </c>
      <c r="E31" s="4">
        <v>112800</v>
      </c>
      <c r="F31" s="4">
        <f t="shared" si="1"/>
        <v>342000</v>
      </c>
      <c r="G31" s="4">
        <v>494595.38989700837</v>
      </c>
      <c r="H31" s="4">
        <f>$B31*H$2</f>
        <v>191000</v>
      </c>
      <c r="I31" s="4">
        <f>$B31*I$2</f>
        <v>496600</v>
      </c>
      <c r="J31" s="4"/>
      <c r="K31" s="4"/>
      <c r="L31" s="4">
        <v>479400</v>
      </c>
      <c r="M31" s="4">
        <f t="shared" si="2"/>
        <v>1661595.3898970084</v>
      </c>
      <c r="N31" s="4">
        <f aca="true" t="shared" si="7" ref="N31:N43">B31*N$2</f>
        <v>229200</v>
      </c>
      <c r="O31" s="4">
        <v>94000</v>
      </c>
      <c r="P31" s="4">
        <v>0</v>
      </c>
      <c r="Q31" s="4"/>
      <c r="R31" s="4"/>
      <c r="S31" s="4"/>
      <c r="T31" s="4">
        <f t="shared" si="4"/>
        <v>0</v>
      </c>
      <c r="U31" s="4">
        <f aca="true" t="shared" si="8" ref="U31:U37">B31*U$2</f>
        <v>114600</v>
      </c>
      <c r="V31" s="4">
        <v>48782</v>
      </c>
      <c r="W31" s="4"/>
      <c r="X31" s="4"/>
      <c r="Y31" s="4"/>
      <c r="Z31" s="4"/>
      <c r="AA31" s="4"/>
      <c r="AB31" s="84"/>
      <c r="AC31" s="202">
        <f t="shared" si="6"/>
        <v>2490177.3898970084</v>
      </c>
      <c r="AD31" s="200" t="s">
        <v>247</v>
      </c>
    </row>
    <row r="32" spans="1:30" ht="15">
      <c r="A32" s="200" t="s">
        <v>248</v>
      </c>
      <c r="B32" s="201">
        <v>99</v>
      </c>
      <c r="C32" s="62"/>
      <c r="D32" s="4">
        <f t="shared" si="0"/>
        <v>29700</v>
      </c>
      <c r="E32" s="4">
        <v>46500</v>
      </c>
      <c r="F32" s="4">
        <f t="shared" si="1"/>
        <v>76200</v>
      </c>
      <c r="G32" s="4">
        <v>64090.24031387936</v>
      </c>
      <c r="H32" s="4">
        <f>$B32*H$2</f>
        <v>24750</v>
      </c>
      <c r="I32" s="4">
        <f>$B32*I$2</f>
        <v>64350</v>
      </c>
      <c r="J32" s="4"/>
      <c r="K32" s="4"/>
      <c r="L32" s="4">
        <v>196400</v>
      </c>
      <c r="M32" s="4">
        <f t="shared" si="2"/>
        <v>349590.24031387933</v>
      </c>
      <c r="N32" s="4">
        <f t="shared" si="7"/>
        <v>29700</v>
      </c>
      <c r="O32" s="4">
        <v>38750</v>
      </c>
      <c r="P32" s="4">
        <v>563410</v>
      </c>
      <c r="Q32" s="4"/>
      <c r="R32" s="4"/>
      <c r="S32" s="4"/>
      <c r="T32" s="4">
        <f t="shared" si="4"/>
        <v>563410</v>
      </c>
      <c r="U32" s="4">
        <f t="shared" si="8"/>
        <v>14850</v>
      </c>
      <c r="V32" s="4">
        <v>26074</v>
      </c>
      <c r="W32" s="4"/>
      <c r="X32" s="4"/>
      <c r="Y32" s="4"/>
      <c r="Z32" s="4"/>
      <c r="AA32" s="4"/>
      <c r="AB32" s="84"/>
      <c r="AC32" s="202">
        <f t="shared" si="6"/>
        <v>1098574.2403138792</v>
      </c>
      <c r="AD32" s="210" t="s">
        <v>248</v>
      </c>
    </row>
    <row r="33" spans="1:30" ht="15">
      <c r="A33" s="200" t="s">
        <v>249</v>
      </c>
      <c r="B33" s="203">
        <v>822</v>
      </c>
      <c r="C33" s="62"/>
      <c r="D33" s="4">
        <f t="shared" si="0"/>
        <v>246600</v>
      </c>
      <c r="E33" s="4">
        <v>0</v>
      </c>
      <c r="F33" s="4">
        <f t="shared" si="1"/>
        <v>246600</v>
      </c>
      <c r="G33" s="4">
        <v>532143.2074546347</v>
      </c>
      <c r="H33" s="4"/>
      <c r="I33" s="4"/>
      <c r="J33" s="4"/>
      <c r="K33" s="4"/>
      <c r="L33" s="4">
        <v>0</v>
      </c>
      <c r="M33" s="4">
        <f t="shared" si="2"/>
        <v>532143.2074546347</v>
      </c>
      <c r="N33" s="4">
        <f t="shared" si="7"/>
        <v>246600</v>
      </c>
      <c r="O33" s="4">
        <v>0</v>
      </c>
      <c r="P33" s="4">
        <v>0</v>
      </c>
      <c r="Q33" s="4"/>
      <c r="R33" s="4"/>
      <c r="S33" s="4"/>
      <c r="T33" s="4">
        <f t="shared" si="4"/>
        <v>0</v>
      </c>
      <c r="U33" s="4">
        <f t="shared" si="8"/>
        <v>123300</v>
      </c>
      <c r="V33" s="4">
        <v>0</v>
      </c>
      <c r="W33" s="4"/>
      <c r="X33" s="4"/>
      <c r="Y33" s="4"/>
      <c r="Z33" s="4"/>
      <c r="AA33" s="4"/>
      <c r="AB33" s="84"/>
      <c r="AC33" s="202">
        <f t="shared" si="6"/>
        <v>1148643.2074546348</v>
      </c>
      <c r="AD33" s="200" t="s">
        <v>249</v>
      </c>
    </row>
    <row r="34" spans="1:30" ht="15">
      <c r="A34" s="200" t="s">
        <v>250</v>
      </c>
      <c r="B34" s="201">
        <v>574</v>
      </c>
      <c r="C34" s="62"/>
      <c r="D34" s="4">
        <f t="shared" si="0"/>
        <v>172200</v>
      </c>
      <c r="E34" s="4">
        <v>0</v>
      </c>
      <c r="F34" s="4">
        <f t="shared" si="1"/>
        <v>172200</v>
      </c>
      <c r="G34" s="4">
        <v>371593.91858754295</v>
      </c>
      <c r="H34" s="4">
        <f>$B34*H$2</f>
        <v>143500</v>
      </c>
      <c r="I34" s="4">
        <f>$B34*I$2</f>
        <v>373100</v>
      </c>
      <c r="J34" s="4"/>
      <c r="K34" s="4"/>
      <c r="L34" s="4">
        <v>0</v>
      </c>
      <c r="M34" s="4">
        <f t="shared" si="2"/>
        <v>888193.918587543</v>
      </c>
      <c r="N34" s="4">
        <f t="shared" si="7"/>
        <v>172200</v>
      </c>
      <c r="O34" s="4">
        <v>0</v>
      </c>
      <c r="P34" s="4">
        <v>0</v>
      </c>
      <c r="Q34" s="4">
        <v>728690</v>
      </c>
      <c r="R34" s="4"/>
      <c r="S34" s="4"/>
      <c r="T34" s="4">
        <f t="shared" si="4"/>
        <v>728690</v>
      </c>
      <c r="U34" s="4">
        <f t="shared" si="8"/>
        <v>86100</v>
      </c>
      <c r="V34" s="4">
        <v>0</v>
      </c>
      <c r="W34" s="4"/>
      <c r="X34" s="4"/>
      <c r="Y34" s="4"/>
      <c r="Z34" s="4"/>
      <c r="AA34" s="4"/>
      <c r="AB34" s="84">
        <v>-292790</v>
      </c>
      <c r="AC34" s="202">
        <f t="shared" si="6"/>
        <v>1754593.918587543</v>
      </c>
      <c r="AD34" s="210" t="s">
        <v>250</v>
      </c>
    </row>
    <row r="35" spans="1:30" ht="15">
      <c r="A35" s="200" t="s">
        <v>251</v>
      </c>
      <c r="B35" s="203">
        <v>222</v>
      </c>
      <c r="C35" s="62"/>
      <c r="D35" s="4">
        <f t="shared" si="0"/>
        <v>66600</v>
      </c>
      <c r="E35" s="4">
        <v>0</v>
      </c>
      <c r="F35" s="4">
        <f t="shared" si="1"/>
        <v>66600</v>
      </c>
      <c r="G35" s="4">
        <v>143717.50858263855</v>
      </c>
      <c r="H35" s="4"/>
      <c r="I35" s="4"/>
      <c r="J35" s="4"/>
      <c r="K35" s="4"/>
      <c r="L35" s="4">
        <v>0</v>
      </c>
      <c r="M35" s="4">
        <f t="shared" si="2"/>
        <v>143717.50858263855</v>
      </c>
      <c r="N35" s="4">
        <f t="shared" si="7"/>
        <v>66600</v>
      </c>
      <c r="O35" s="4">
        <v>0</v>
      </c>
      <c r="P35" s="4">
        <v>0</v>
      </c>
      <c r="Q35" s="4"/>
      <c r="R35" s="4"/>
      <c r="S35" s="4"/>
      <c r="T35" s="4">
        <f t="shared" si="4"/>
        <v>0</v>
      </c>
      <c r="U35" s="4">
        <f t="shared" si="8"/>
        <v>33300</v>
      </c>
      <c r="V35" s="4">
        <v>0</v>
      </c>
      <c r="W35" s="4"/>
      <c r="X35" s="4"/>
      <c r="Y35" s="4"/>
      <c r="Z35" s="4"/>
      <c r="AA35" s="4"/>
      <c r="AB35" s="84"/>
      <c r="AC35" s="202">
        <f t="shared" si="6"/>
        <v>310217.5085826386</v>
      </c>
      <c r="AD35" s="200" t="s">
        <v>251</v>
      </c>
    </row>
    <row r="36" spans="1:30" ht="15">
      <c r="A36" s="200" t="s">
        <v>252</v>
      </c>
      <c r="B36" s="201">
        <v>357</v>
      </c>
      <c r="C36" s="62"/>
      <c r="D36" s="4">
        <f t="shared" si="0"/>
        <v>107100</v>
      </c>
      <c r="E36" s="4">
        <v>0</v>
      </c>
      <c r="F36" s="4">
        <f t="shared" si="1"/>
        <v>107100</v>
      </c>
      <c r="G36" s="4">
        <v>231113.2908288377</v>
      </c>
      <c r="H36" s="4"/>
      <c r="I36" s="4"/>
      <c r="J36" s="4"/>
      <c r="K36" s="4"/>
      <c r="L36" s="4">
        <v>0</v>
      </c>
      <c r="M36" s="4">
        <f t="shared" si="2"/>
        <v>231113.2908288377</v>
      </c>
      <c r="N36" s="4">
        <f t="shared" si="7"/>
        <v>107100</v>
      </c>
      <c r="O36" s="4">
        <v>0</v>
      </c>
      <c r="P36" s="4">
        <v>0</v>
      </c>
      <c r="Q36" s="4"/>
      <c r="R36" s="4"/>
      <c r="S36" s="4"/>
      <c r="T36" s="4">
        <f t="shared" si="4"/>
        <v>0</v>
      </c>
      <c r="U36" s="4">
        <f t="shared" si="8"/>
        <v>53550</v>
      </c>
      <c r="V36" s="4">
        <v>0</v>
      </c>
      <c r="W36" s="4"/>
      <c r="X36" s="4"/>
      <c r="Y36" s="4"/>
      <c r="Z36" s="4"/>
      <c r="AA36" s="4"/>
      <c r="AB36" s="84"/>
      <c r="AC36" s="202">
        <f t="shared" si="6"/>
        <v>498863.29082883766</v>
      </c>
      <c r="AD36" s="210" t="s">
        <v>252</v>
      </c>
    </row>
    <row r="37" spans="1:30" ht="15">
      <c r="A37" s="200" t="s">
        <v>253</v>
      </c>
      <c r="B37" s="203">
        <v>288</v>
      </c>
      <c r="C37" s="62"/>
      <c r="D37" s="4">
        <f t="shared" si="0"/>
        <v>86400</v>
      </c>
      <c r="E37" s="4">
        <v>42450</v>
      </c>
      <c r="F37" s="4">
        <f t="shared" si="1"/>
        <v>128850</v>
      </c>
      <c r="G37" s="4">
        <v>186444.33545855814</v>
      </c>
      <c r="H37" s="4">
        <f>$B37*H$2</f>
        <v>72000</v>
      </c>
      <c r="I37" s="4">
        <f>$B37*I$2</f>
        <v>187200</v>
      </c>
      <c r="J37" s="4"/>
      <c r="K37" s="4"/>
      <c r="L37" s="4">
        <v>180412</v>
      </c>
      <c r="M37" s="4">
        <f t="shared" si="2"/>
        <v>626056.3354585582</v>
      </c>
      <c r="N37" s="4">
        <f t="shared" si="7"/>
        <v>86400</v>
      </c>
      <c r="O37" s="4">
        <v>35375</v>
      </c>
      <c r="P37" s="4">
        <v>0</v>
      </c>
      <c r="Q37" s="4"/>
      <c r="R37" s="4"/>
      <c r="S37" s="4"/>
      <c r="T37" s="4">
        <f t="shared" si="4"/>
        <v>0</v>
      </c>
      <c r="U37" s="4">
        <f t="shared" si="8"/>
        <v>43200</v>
      </c>
      <c r="V37" s="4">
        <v>18358</v>
      </c>
      <c r="W37" s="4"/>
      <c r="X37" s="4"/>
      <c r="Y37" s="4"/>
      <c r="Z37" s="4"/>
      <c r="AA37" s="4"/>
      <c r="AB37" s="84"/>
      <c r="AC37" s="202">
        <f t="shared" si="6"/>
        <v>938239.3354585582</v>
      </c>
      <c r="AD37" s="200" t="s">
        <v>253</v>
      </c>
    </row>
    <row r="38" spans="1:30" ht="15">
      <c r="A38" s="200" t="s">
        <v>254</v>
      </c>
      <c r="B38" s="201">
        <v>755</v>
      </c>
      <c r="C38" s="62"/>
      <c r="D38" s="4">
        <f t="shared" si="0"/>
        <v>226500</v>
      </c>
      <c r="E38" s="4">
        <v>1052800</v>
      </c>
      <c r="F38" s="4">
        <f t="shared" si="1"/>
        <v>1279300</v>
      </c>
      <c r="G38" s="4">
        <v>488769.00441392843</v>
      </c>
      <c r="H38" s="4"/>
      <c r="I38" s="4"/>
      <c r="J38" s="4"/>
      <c r="K38" s="4"/>
      <c r="L38" s="4">
        <v>287250</v>
      </c>
      <c r="M38" s="4">
        <f t="shared" si="2"/>
        <v>776019.0044139284</v>
      </c>
      <c r="N38" s="4">
        <f t="shared" si="7"/>
        <v>226500</v>
      </c>
      <c r="O38" s="4">
        <v>386500</v>
      </c>
      <c r="P38" s="4">
        <v>0</v>
      </c>
      <c r="Q38" s="4"/>
      <c r="R38" s="4"/>
      <c r="S38" s="4"/>
      <c r="T38" s="4">
        <f t="shared" si="4"/>
        <v>0</v>
      </c>
      <c r="U38" s="4">
        <v>0</v>
      </c>
      <c r="V38" s="4">
        <v>0</v>
      </c>
      <c r="W38" s="4"/>
      <c r="X38" s="4"/>
      <c r="Y38" s="4"/>
      <c r="Z38" s="4"/>
      <c r="AA38" s="4">
        <v>216500</v>
      </c>
      <c r="AB38" s="84"/>
      <c r="AC38" s="202">
        <f t="shared" si="6"/>
        <v>2884819.0044139284</v>
      </c>
      <c r="AD38" s="210" t="s">
        <v>254</v>
      </c>
    </row>
    <row r="39" spans="1:30" ht="15">
      <c r="A39" s="200" t="s">
        <v>255</v>
      </c>
      <c r="B39" s="203">
        <v>436</v>
      </c>
      <c r="C39" s="62"/>
      <c r="D39" s="4">
        <f t="shared" si="0"/>
        <v>130800</v>
      </c>
      <c r="E39" s="4">
        <v>64950</v>
      </c>
      <c r="F39" s="4">
        <f t="shared" si="1"/>
        <v>195750</v>
      </c>
      <c r="G39" s="4">
        <v>282256.00784698385</v>
      </c>
      <c r="H39" s="4"/>
      <c r="I39" s="4"/>
      <c r="J39" s="4"/>
      <c r="K39" s="4"/>
      <c r="L39" s="4">
        <v>81187</v>
      </c>
      <c r="M39" s="4">
        <f t="shared" si="2"/>
        <v>363443.00784698385</v>
      </c>
      <c r="N39" s="4">
        <f t="shared" si="7"/>
        <v>130800</v>
      </c>
      <c r="O39" s="4">
        <v>54125</v>
      </c>
      <c r="P39" s="4">
        <v>0</v>
      </c>
      <c r="Q39" s="4"/>
      <c r="R39" s="4"/>
      <c r="S39" s="4"/>
      <c r="T39" s="4">
        <f t="shared" si="4"/>
        <v>0</v>
      </c>
      <c r="U39" s="4">
        <f>B39*U$2</f>
        <v>65400</v>
      </c>
      <c r="V39" s="4">
        <v>28089</v>
      </c>
      <c r="W39" s="4"/>
      <c r="X39" s="4"/>
      <c r="Y39" s="4"/>
      <c r="Z39" s="4"/>
      <c r="AA39" s="4"/>
      <c r="AB39" s="84"/>
      <c r="AC39" s="202">
        <f t="shared" si="6"/>
        <v>837607.0078469838</v>
      </c>
      <c r="AD39" s="200" t="s">
        <v>255</v>
      </c>
    </row>
    <row r="40" spans="1:30" ht="15">
      <c r="A40" s="200" t="s">
        <v>256</v>
      </c>
      <c r="B40" s="201">
        <v>135</v>
      </c>
      <c r="C40" s="62"/>
      <c r="D40" s="4">
        <f t="shared" si="0"/>
        <v>40500</v>
      </c>
      <c r="E40" s="4">
        <v>0</v>
      </c>
      <c r="F40" s="4">
        <f t="shared" si="1"/>
        <v>40500</v>
      </c>
      <c r="G40" s="4"/>
      <c r="H40" s="4"/>
      <c r="I40" s="4"/>
      <c r="J40" s="4"/>
      <c r="K40" s="4"/>
      <c r="L40" s="4">
        <v>0</v>
      </c>
      <c r="M40" s="4">
        <f t="shared" si="2"/>
        <v>0</v>
      </c>
      <c r="N40" s="4">
        <f t="shared" si="7"/>
        <v>40500</v>
      </c>
      <c r="O40" s="4">
        <v>0</v>
      </c>
      <c r="P40" s="4">
        <v>0</v>
      </c>
      <c r="Q40" s="4"/>
      <c r="R40" s="4"/>
      <c r="S40" s="4"/>
      <c r="T40" s="4">
        <f t="shared" si="4"/>
        <v>0</v>
      </c>
      <c r="U40" s="4">
        <f>B40*U$2</f>
        <v>20250</v>
      </c>
      <c r="V40" s="4">
        <v>0</v>
      </c>
      <c r="W40" s="4"/>
      <c r="X40" s="4"/>
      <c r="Y40" s="4"/>
      <c r="Z40" s="4"/>
      <c r="AA40" s="4"/>
      <c r="AB40" s="84"/>
      <c r="AC40" s="202">
        <f t="shared" si="6"/>
        <v>101250</v>
      </c>
      <c r="AD40" s="210" t="s">
        <v>256</v>
      </c>
    </row>
    <row r="41" spans="1:30" ht="15">
      <c r="A41" s="200" t="s">
        <v>257</v>
      </c>
      <c r="B41" s="203">
        <v>151</v>
      </c>
      <c r="C41" s="62"/>
      <c r="D41" s="4">
        <f t="shared" si="0"/>
        <v>45300</v>
      </c>
      <c r="E41" s="4">
        <v>0</v>
      </c>
      <c r="F41" s="4">
        <f t="shared" si="1"/>
        <v>45300</v>
      </c>
      <c r="G41" s="4">
        <v>97753.80088278568</v>
      </c>
      <c r="H41" s="4"/>
      <c r="I41" s="4"/>
      <c r="J41" s="4"/>
      <c r="K41" s="4"/>
      <c r="L41" s="4">
        <v>0</v>
      </c>
      <c r="M41" s="4">
        <f t="shared" si="2"/>
        <v>97753.80088278568</v>
      </c>
      <c r="N41" s="4">
        <f t="shared" si="7"/>
        <v>45300</v>
      </c>
      <c r="O41" s="4">
        <v>0</v>
      </c>
      <c r="P41" s="4">
        <v>0</v>
      </c>
      <c r="Q41" s="4"/>
      <c r="R41" s="4"/>
      <c r="S41" s="4"/>
      <c r="T41" s="4">
        <f t="shared" si="4"/>
        <v>0</v>
      </c>
      <c r="U41" s="4">
        <f>B41*U$2</f>
        <v>22650</v>
      </c>
      <c r="V41" s="4">
        <v>0</v>
      </c>
      <c r="W41" s="4"/>
      <c r="X41" s="4"/>
      <c r="Y41" s="4"/>
      <c r="Z41" s="4"/>
      <c r="AA41" s="4"/>
      <c r="AB41" s="84"/>
      <c r="AC41" s="202">
        <f t="shared" si="6"/>
        <v>211003.8008827857</v>
      </c>
      <c r="AD41" s="200" t="s">
        <v>257</v>
      </c>
    </row>
    <row r="42" spans="1:30" ht="15">
      <c r="A42" s="200" t="s">
        <v>258</v>
      </c>
      <c r="B42" s="201">
        <v>767</v>
      </c>
      <c r="C42" s="62"/>
      <c r="D42" s="4">
        <f t="shared" si="0"/>
        <v>230100</v>
      </c>
      <c r="E42" s="4">
        <v>0</v>
      </c>
      <c r="F42" s="4">
        <f t="shared" si="1"/>
        <v>230100</v>
      </c>
      <c r="G42" s="4">
        <v>496537.5183913684</v>
      </c>
      <c r="H42" s="4"/>
      <c r="I42" s="4"/>
      <c r="J42" s="4"/>
      <c r="K42" s="4"/>
      <c r="L42" s="4">
        <v>0</v>
      </c>
      <c r="M42" s="4">
        <f t="shared" si="2"/>
        <v>496537.5183913684</v>
      </c>
      <c r="N42" s="4">
        <f t="shared" si="7"/>
        <v>230100</v>
      </c>
      <c r="O42" s="4">
        <v>0</v>
      </c>
      <c r="P42" s="4">
        <v>0</v>
      </c>
      <c r="Q42" s="4"/>
      <c r="R42" s="4"/>
      <c r="S42" s="4"/>
      <c r="T42" s="4">
        <f t="shared" si="4"/>
        <v>0</v>
      </c>
      <c r="U42" s="4">
        <f>B42*U$2</f>
        <v>115050</v>
      </c>
      <c r="V42" s="4">
        <v>0</v>
      </c>
      <c r="W42" s="4"/>
      <c r="X42" s="4"/>
      <c r="Y42" s="4"/>
      <c r="Z42" s="4"/>
      <c r="AA42" s="4"/>
      <c r="AB42" s="84"/>
      <c r="AC42" s="202">
        <f t="shared" si="6"/>
        <v>1071787.5183913684</v>
      </c>
      <c r="AD42" s="210" t="s">
        <v>258</v>
      </c>
    </row>
    <row r="43" spans="1:30" ht="15.75" thickBot="1">
      <c r="A43" s="200" t="s">
        <v>259</v>
      </c>
      <c r="B43" s="204">
        <v>508</v>
      </c>
      <c r="C43" s="62"/>
      <c r="D43" s="4">
        <f t="shared" si="0"/>
        <v>152400</v>
      </c>
      <c r="E43" s="4">
        <v>0</v>
      </c>
      <c r="F43" s="4">
        <f t="shared" si="1"/>
        <v>152400</v>
      </c>
      <c r="G43" s="4"/>
      <c r="H43" s="4"/>
      <c r="I43" s="4"/>
      <c r="J43" s="4"/>
      <c r="K43" s="4"/>
      <c r="L43" s="4">
        <v>0</v>
      </c>
      <c r="M43" s="4">
        <f t="shared" si="2"/>
        <v>0</v>
      </c>
      <c r="N43" s="4">
        <f t="shared" si="7"/>
        <v>152400</v>
      </c>
      <c r="O43" s="4">
        <v>0</v>
      </c>
      <c r="P43" s="4">
        <v>0</v>
      </c>
      <c r="Q43" s="4"/>
      <c r="R43" s="4"/>
      <c r="S43" s="4"/>
      <c r="T43" s="4">
        <f t="shared" si="4"/>
        <v>0</v>
      </c>
      <c r="U43" s="4">
        <f>B43*U$2</f>
        <v>76200</v>
      </c>
      <c r="V43" s="4">
        <v>0</v>
      </c>
      <c r="W43" s="4"/>
      <c r="X43" s="4"/>
      <c r="Y43" s="4"/>
      <c r="Z43" s="4"/>
      <c r="AA43" s="4"/>
      <c r="AB43" s="84"/>
      <c r="AC43" s="202">
        <f t="shared" si="6"/>
        <v>381000</v>
      </c>
      <c r="AD43" s="200" t="s">
        <v>259</v>
      </c>
    </row>
    <row r="44" spans="1:29" ht="15.75" thickBot="1">
      <c r="A44" s="205"/>
      <c r="B44" s="27">
        <f aca="true" t="shared" si="9" ref="B44:AB44">SUBTOTAL(109,B6:B43)</f>
        <v>36416</v>
      </c>
      <c r="C44" s="27">
        <f t="shared" si="9"/>
        <v>0</v>
      </c>
      <c r="D44" s="43">
        <f t="shared" si="9"/>
        <v>10924800</v>
      </c>
      <c r="E44" s="43">
        <f t="shared" si="9"/>
        <v>3720940</v>
      </c>
      <c r="F44" s="43">
        <f t="shared" si="9"/>
        <v>14645740</v>
      </c>
      <c r="G44" s="43">
        <f t="shared" si="9"/>
        <v>21120000</v>
      </c>
      <c r="H44" s="43">
        <f t="shared" si="9"/>
        <v>4004000</v>
      </c>
      <c r="I44" s="43">
        <f t="shared" si="9"/>
        <v>10410400</v>
      </c>
      <c r="J44" s="43">
        <f t="shared" si="9"/>
        <v>29874000</v>
      </c>
      <c r="K44" s="43">
        <f t="shared" si="9"/>
        <v>130826000</v>
      </c>
      <c r="L44" s="43">
        <f t="shared" si="9"/>
        <v>3798116</v>
      </c>
      <c r="M44" s="43">
        <f t="shared" si="9"/>
        <v>200032516</v>
      </c>
      <c r="N44" s="43">
        <f t="shared" si="9"/>
        <v>10752300</v>
      </c>
      <c r="O44" s="43">
        <f t="shared" si="9"/>
        <v>1121750</v>
      </c>
      <c r="P44" s="43">
        <f t="shared" si="9"/>
        <v>6851931</v>
      </c>
      <c r="Q44" s="43">
        <f t="shared" si="9"/>
        <v>36572010</v>
      </c>
      <c r="R44" s="43">
        <f t="shared" si="9"/>
        <v>228295000</v>
      </c>
      <c r="S44" s="43">
        <f t="shared" si="9"/>
        <v>2839000</v>
      </c>
      <c r="T44" s="43">
        <f>SUBTOTAL(109,T6:T43)</f>
        <v>274557941</v>
      </c>
      <c r="U44" s="43">
        <f t="shared" si="9"/>
        <v>4756650</v>
      </c>
      <c r="V44" s="43">
        <f t="shared" si="9"/>
        <v>394599</v>
      </c>
      <c r="W44" s="43">
        <f t="shared" si="9"/>
        <v>237000</v>
      </c>
      <c r="X44" s="43">
        <f t="shared" si="9"/>
        <v>0</v>
      </c>
      <c r="Y44" s="43">
        <f t="shared" si="9"/>
        <v>185000</v>
      </c>
      <c r="Z44" s="43">
        <f t="shared" si="9"/>
        <v>0</v>
      </c>
      <c r="AA44" s="43">
        <f t="shared" si="9"/>
        <v>216500</v>
      </c>
      <c r="AB44" s="43">
        <f t="shared" si="9"/>
        <v>-4906327</v>
      </c>
      <c r="AC44" s="44">
        <f>M44+F44+AA44+N44+U44+Y44+T44+V44+O44+Z44+W44+AB44</f>
        <v>501993669</v>
      </c>
    </row>
    <row r="45" ht="15">
      <c r="AK45" s="1"/>
    </row>
    <row r="46" spans="4:34" ht="15">
      <c r="D46" s="1"/>
      <c r="G46" s="206"/>
      <c r="H46" s="206"/>
      <c r="I46" s="206"/>
      <c r="J46" s="206"/>
      <c r="K46" s="206"/>
      <c r="L46" s="207"/>
      <c r="M46" s="206"/>
      <c r="N46" s="1"/>
      <c r="O46" s="1"/>
      <c r="T46" s="1"/>
      <c r="Y46" s="1"/>
      <c r="AA46" s="1"/>
      <c r="AB46" s="1"/>
      <c r="AC46" s="1"/>
      <c r="AF46" s="1"/>
      <c r="AG46" s="1"/>
      <c r="AH46" s="1"/>
    </row>
    <row r="47" spans="7:37" ht="15">
      <c r="G47" s="207"/>
      <c r="H47" s="207"/>
      <c r="I47" s="207"/>
      <c r="J47" s="207"/>
      <c r="K47" s="207"/>
      <c r="L47" s="207"/>
      <c r="M47" s="206"/>
      <c r="AA47" s="1"/>
      <c r="AK47" s="1"/>
    </row>
    <row r="48" ht="15">
      <c r="T48" s="1">
        <f>P44+Q44+R44+S44</f>
        <v>274557941</v>
      </c>
    </row>
  </sheetData>
  <sheetProtection/>
  <mergeCells count="4">
    <mergeCell ref="A3:AC3"/>
    <mergeCell ref="A4:B4"/>
    <mergeCell ref="C4:F4"/>
    <mergeCell ref="A5:B5"/>
  </mergeCells>
  <printOptions/>
  <pageMargins left="0.7" right="0.7" top="0.75" bottom="0.75" header="0.3" footer="0.3"/>
  <pageSetup horizontalDpi="600" verticalDpi="600" orientation="landscape" paperSize="9" scale="51" r:id="rId1"/>
  <headerFooter>
    <oddHeader>&amp;C.../2016 (IV.26.) számú határozat
a Marcali Kistérségi Többcélú Társulás
2015. évi költségvetésének módosításáról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T63"/>
  <sheetViews>
    <sheetView workbookViewId="0" topLeftCell="A13">
      <selection activeCell="F1" sqref="F1"/>
    </sheetView>
  </sheetViews>
  <sheetFormatPr defaultColWidth="9.140625" defaultRowHeight="15"/>
  <cols>
    <col min="1" max="1" width="62.140625" style="0" customWidth="1"/>
    <col min="6" max="6" width="9.7109375" style="0" bestFit="1" customWidth="1"/>
  </cols>
  <sheetData>
    <row r="1" spans="1:14" ht="15.75" thickBot="1">
      <c r="A1" s="2" t="s">
        <v>107</v>
      </c>
      <c r="N1" s="15" t="s">
        <v>16</v>
      </c>
    </row>
    <row r="2" spans="1:14" ht="15">
      <c r="A2" s="54" t="s">
        <v>45</v>
      </c>
      <c r="B2" s="55" t="s">
        <v>24</v>
      </c>
      <c r="C2" s="55" t="s">
        <v>25</v>
      </c>
      <c r="D2" s="55" t="s">
        <v>26</v>
      </c>
      <c r="E2" s="55" t="s">
        <v>27</v>
      </c>
      <c r="F2" s="55" t="s">
        <v>28</v>
      </c>
      <c r="G2" s="55" t="s">
        <v>29</v>
      </c>
      <c r="H2" s="55" t="s">
        <v>30</v>
      </c>
      <c r="I2" s="55" t="s">
        <v>31</v>
      </c>
      <c r="J2" s="55" t="s">
        <v>32</v>
      </c>
      <c r="K2" s="55" t="s">
        <v>33</v>
      </c>
      <c r="L2" s="55" t="s">
        <v>34</v>
      </c>
      <c r="M2" s="55" t="s">
        <v>35</v>
      </c>
      <c r="N2" s="56" t="s">
        <v>0</v>
      </c>
    </row>
    <row r="3" spans="1:14" ht="15">
      <c r="A3" s="11" t="s">
        <v>1</v>
      </c>
      <c r="B3" s="8">
        <f>B4</f>
        <v>5110</v>
      </c>
      <c r="C3" s="8">
        <f aca="true" t="shared" si="0" ref="C3:M3">C4</f>
        <v>3825</v>
      </c>
      <c r="D3" s="8">
        <f t="shared" si="0"/>
        <v>3825</v>
      </c>
      <c r="E3" s="8">
        <f t="shared" si="0"/>
        <v>6180</v>
      </c>
      <c r="F3" s="8">
        <f t="shared" si="0"/>
        <v>3825</v>
      </c>
      <c r="G3" s="8">
        <f t="shared" si="0"/>
        <v>3825</v>
      </c>
      <c r="H3" s="8">
        <f t="shared" si="0"/>
        <v>3825</v>
      </c>
      <c r="I3" s="8">
        <f t="shared" si="0"/>
        <v>6798</v>
      </c>
      <c r="J3" s="8">
        <f t="shared" si="0"/>
        <v>3825</v>
      </c>
      <c r="K3" s="8">
        <f t="shared" si="0"/>
        <v>4825</v>
      </c>
      <c r="L3" s="8">
        <f t="shared" si="0"/>
        <v>5825</v>
      </c>
      <c r="M3" s="8">
        <f t="shared" si="0"/>
        <v>5825</v>
      </c>
      <c r="N3" s="19">
        <f aca="true" t="shared" si="1" ref="N3:N13">SUM(B3:M3)</f>
        <v>57513</v>
      </c>
    </row>
    <row r="4" spans="1:18" ht="15">
      <c r="A4" s="3" t="s">
        <v>2</v>
      </c>
      <c r="B4" s="4">
        <f>1285+3825</f>
        <v>5110</v>
      </c>
      <c r="C4" s="4">
        <v>3825</v>
      </c>
      <c r="D4" s="4">
        <v>3825</v>
      </c>
      <c r="E4" s="4">
        <f>2355+3825</f>
        <v>6180</v>
      </c>
      <c r="F4" s="4">
        <v>3825</v>
      </c>
      <c r="G4" s="4">
        <v>3825</v>
      </c>
      <c r="H4" s="4">
        <v>3825</v>
      </c>
      <c r="I4" s="4">
        <v>6798</v>
      </c>
      <c r="J4" s="4">
        <v>3825</v>
      </c>
      <c r="K4" s="4">
        <v>4825</v>
      </c>
      <c r="L4" s="4">
        <v>5825</v>
      </c>
      <c r="M4" s="4">
        <v>5825</v>
      </c>
      <c r="N4" s="5">
        <f t="shared" si="1"/>
        <v>57513</v>
      </c>
      <c r="P4" s="98"/>
      <c r="Q4" s="1"/>
      <c r="R4" s="1"/>
    </row>
    <row r="5" spans="1:14" ht="15">
      <c r="A5" s="11" t="s">
        <v>77</v>
      </c>
      <c r="B5" s="8">
        <f>SUM(B6:B11)</f>
        <v>52489</v>
      </c>
      <c r="C5" s="8">
        <f aca="true" t="shared" si="2" ref="C5:M5">SUM(C6:C11)</f>
        <v>49544</v>
      </c>
      <c r="D5" s="8">
        <f t="shared" si="2"/>
        <v>49544</v>
      </c>
      <c r="E5" s="8">
        <f t="shared" si="2"/>
        <v>48958</v>
      </c>
      <c r="F5" s="8">
        <f t="shared" si="2"/>
        <v>55432</v>
      </c>
      <c r="G5" s="8">
        <f t="shared" si="2"/>
        <v>56044</v>
      </c>
      <c r="H5" s="8">
        <f t="shared" si="2"/>
        <v>57144</v>
      </c>
      <c r="I5" s="8">
        <f t="shared" si="2"/>
        <v>57644</v>
      </c>
      <c r="J5" s="8">
        <f t="shared" si="2"/>
        <v>61644</v>
      </c>
      <c r="K5" s="8">
        <f t="shared" si="2"/>
        <v>61644</v>
      </c>
      <c r="L5" s="8">
        <f t="shared" si="2"/>
        <v>81217</v>
      </c>
      <c r="M5" s="8">
        <f t="shared" si="2"/>
        <v>121394</v>
      </c>
      <c r="N5" s="19">
        <f t="shared" si="1"/>
        <v>752698</v>
      </c>
    </row>
    <row r="6" spans="1:18" ht="15">
      <c r="A6" s="3" t="s">
        <v>81</v>
      </c>
      <c r="B6" s="4">
        <v>5345</v>
      </c>
      <c r="C6" s="4">
        <v>2400</v>
      </c>
      <c r="D6" s="4">
        <v>2400</v>
      </c>
      <c r="E6" s="4">
        <v>1814</v>
      </c>
      <c r="F6" s="4">
        <v>7500</v>
      </c>
      <c r="G6" s="4">
        <v>8900</v>
      </c>
      <c r="H6" s="4">
        <v>9500</v>
      </c>
      <c r="I6" s="4">
        <v>10000</v>
      </c>
      <c r="J6" s="4">
        <v>10000</v>
      </c>
      <c r="K6" s="4">
        <v>10000</v>
      </c>
      <c r="L6" s="4">
        <v>11583</v>
      </c>
      <c r="M6" s="4">
        <v>38009</v>
      </c>
      <c r="N6" s="5">
        <f t="shared" si="1"/>
        <v>117451</v>
      </c>
      <c r="P6" s="98"/>
      <c r="Q6" s="1"/>
      <c r="R6" s="1"/>
    </row>
    <row r="7" spans="1:17" ht="15">
      <c r="A7" s="3" t="s">
        <v>82</v>
      </c>
      <c r="B7" s="4">
        <v>5139</v>
      </c>
      <c r="C7" s="4">
        <v>5139</v>
      </c>
      <c r="D7" s="4">
        <v>5139</v>
      </c>
      <c r="E7" s="4">
        <v>5139</v>
      </c>
      <c r="F7" s="4">
        <v>5139</v>
      </c>
      <c r="G7" s="4">
        <v>5139</v>
      </c>
      <c r="H7" s="4">
        <v>5639</v>
      </c>
      <c r="I7" s="4">
        <v>5639</v>
      </c>
      <c r="J7" s="4">
        <v>5639</v>
      </c>
      <c r="K7" s="4">
        <v>5639</v>
      </c>
      <c r="L7" s="4">
        <v>6000</v>
      </c>
      <c r="M7" s="4">
        <v>6049</v>
      </c>
      <c r="N7" s="5">
        <f t="shared" si="1"/>
        <v>65439</v>
      </c>
      <c r="P7" s="98"/>
      <c r="Q7" s="1"/>
    </row>
    <row r="8" spans="1:17" ht="15">
      <c r="A8" s="3" t="s">
        <v>83</v>
      </c>
      <c r="B8" s="4">
        <v>42005</v>
      </c>
      <c r="C8" s="4">
        <v>42005</v>
      </c>
      <c r="D8" s="4">
        <v>42005</v>
      </c>
      <c r="E8" s="4">
        <v>42005</v>
      </c>
      <c r="F8" s="4">
        <v>42005</v>
      </c>
      <c r="G8" s="4">
        <v>42005</v>
      </c>
      <c r="H8" s="4">
        <v>42005</v>
      </c>
      <c r="I8" s="4">
        <v>42005</v>
      </c>
      <c r="J8" s="4">
        <v>46005</v>
      </c>
      <c r="K8" s="4">
        <v>46005</v>
      </c>
      <c r="L8" s="4">
        <f>47718+11247+4669</f>
        <v>63634</v>
      </c>
      <c r="M8" s="4">
        <f>75394+1942</f>
        <v>77336</v>
      </c>
      <c r="N8" s="5">
        <f t="shared" si="1"/>
        <v>569020</v>
      </c>
      <c r="P8" s="98"/>
      <c r="Q8" s="1"/>
    </row>
    <row r="9" spans="1:17" ht="15">
      <c r="A9" s="3" t="s">
        <v>84</v>
      </c>
      <c r="B9" s="4"/>
      <c r="C9" s="4"/>
      <c r="D9" s="4"/>
      <c r="E9" s="4"/>
      <c r="F9" s="4">
        <v>788</v>
      </c>
      <c r="G9" s="4"/>
      <c r="H9" s="4"/>
      <c r="I9" s="4"/>
      <c r="J9" s="4"/>
      <c r="K9" s="4"/>
      <c r="L9" s="4"/>
      <c r="M9" s="4"/>
      <c r="N9" s="5">
        <f t="shared" si="1"/>
        <v>788</v>
      </c>
      <c r="Q9" s="1"/>
    </row>
    <row r="10" spans="1:14" ht="15">
      <c r="A10" s="3" t="s">
        <v>85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>
        <f t="shared" si="1"/>
        <v>0</v>
      </c>
    </row>
    <row r="11" spans="1:17" ht="15">
      <c r="A11" s="3" t="s">
        <v>86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>
        <f t="shared" si="1"/>
        <v>0</v>
      </c>
      <c r="Q11" s="1"/>
    </row>
    <row r="12" spans="1:14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 t="shared" si="1"/>
        <v>0</v>
      </c>
    </row>
    <row r="13" spans="1:14" ht="15">
      <c r="A13" s="11" t="s">
        <v>78</v>
      </c>
      <c r="B13" s="8">
        <f aca="true" t="shared" si="3" ref="B13:M13">SUM(B14:B15)</f>
        <v>0</v>
      </c>
      <c r="C13" s="8">
        <f t="shared" si="3"/>
        <v>0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3"/>
        <v>0</v>
      </c>
      <c r="J13" s="8">
        <f t="shared" si="3"/>
        <v>0</v>
      </c>
      <c r="K13" s="8">
        <f t="shared" si="3"/>
        <v>0</v>
      </c>
      <c r="L13" s="8">
        <f t="shared" si="3"/>
        <v>0</v>
      </c>
      <c r="M13" s="8">
        <f t="shared" si="3"/>
        <v>0</v>
      </c>
      <c r="N13" s="19">
        <f t="shared" si="1"/>
        <v>0</v>
      </c>
    </row>
    <row r="14" spans="1:14" ht="15">
      <c r="A14" s="3" t="s">
        <v>94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>
        <f>SUM(B14:M14)</f>
        <v>0</v>
      </c>
    </row>
    <row r="15" spans="1:14" ht="1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>
        <f>SUM(B15:M15)</f>
        <v>0</v>
      </c>
    </row>
    <row r="16" spans="1:14" ht="15">
      <c r="A16" s="11" t="s">
        <v>79</v>
      </c>
      <c r="B16" s="8">
        <f>SUM(B17:B18)</f>
        <v>0</v>
      </c>
      <c r="C16" s="8">
        <f aca="true" t="shared" si="4" ref="C16:M16">SUM(C17:C18)</f>
        <v>0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4"/>
        <v>0</v>
      </c>
      <c r="J16" s="8">
        <f t="shared" si="4"/>
        <v>0</v>
      </c>
      <c r="K16" s="8">
        <f t="shared" si="4"/>
        <v>0</v>
      </c>
      <c r="L16" s="8">
        <f t="shared" si="4"/>
        <v>0</v>
      </c>
      <c r="M16" s="8">
        <f t="shared" si="4"/>
        <v>0</v>
      </c>
      <c r="N16" s="19">
        <f aca="true" t="shared" si="5" ref="N16:N27">SUM(B16:M16)</f>
        <v>0</v>
      </c>
    </row>
    <row r="17" spans="1:14" ht="15">
      <c r="A17" s="3" t="s">
        <v>99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</row>
    <row r="18" spans="1:17" ht="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Q18" s="1"/>
    </row>
    <row r="19" spans="1:14" ht="15">
      <c r="A19" s="11" t="s">
        <v>80</v>
      </c>
      <c r="B19" s="8">
        <f>SUM(B20:B26)</f>
        <v>0</v>
      </c>
      <c r="C19" s="8">
        <f aca="true" t="shared" si="6" ref="C19:M19">SUM(C20:C26)</f>
        <v>0</v>
      </c>
      <c r="D19" s="8">
        <f t="shared" si="6"/>
        <v>0</v>
      </c>
      <c r="E19" s="8">
        <f t="shared" si="6"/>
        <v>0</v>
      </c>
      <c r="F19" s="8">
        <f t="shared" si="6"/>
        <v>0</v>
      </c>
      <c r="G19" s="8">
        <f t="shared" si="6"/>
        <v>0</v>
      </c>
      <c r="H19" s="8">
        <f t="shared" si="6"/>
        <v>0</v>
      </c>
      <c r="I19" s="8">
        <f t="shared" si="6"/>
        <v>0</v>
      </c>
      <c r="J19" s="8">
        <f t="shared" si="6"/>
        <v>0</v>
      </c>
      <c r="K19" s="8">
        <f t="shared" si="6"/>
        <v>0</v>
      </c>
      <c r="L19" s="8">
        <f t="shared" si="6"/>
        <v>0</v>
      </c>
      <c r="M19" s="8">
        <f t="shared" si="6"/>
        <v>500416</v>
      </c>
      <c r="N19" s="19">
        <f t="shared" si="5"/>
        <v>500416</v>
      </c>
    </row>
    <row r="20" spans="1:14" ht="15">
      <c r="A20" s="3" t="s">
        <v>87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>
        <f t="shared" si="5"/>
        <v>0</v>
      </c>
    </row>
    <row r="21" spans="1:14" ht="15">
      <c r="A21" s="3" t="s">
        <v>88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f t="shared" si="5"/>
        <v>0</v>
      </c>
    </row>
    <row r="22" spans="1:14" ht="15">
      <c r="A22" s="3" t="s">
        <v>89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>
        <f t="shared" si="5"/>
        <v>0</v>
      </c>
    </row>
    <row r="23" spans="1:20" ht="15">
      <c r="A23" s="3" t="s">
        <v>90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>
        <v>475395</v>
      </c>
      <c r="N23" s="5">
        <f t="shared" si="5"/>
        <v>475395</v>
      </c>
      <c r="S23" s="1"/>
      <c r="T23" s="1"/>
    </row>
    <row r="24" spans="1:14" ht="15">
      <c r="A24" s="3" t="s">
        <v>91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>
        <f t="shared" si="5"/>
        <v>0</v>
      </c>
    </row>
    <row r="25" spans="1:14" ht="15">
      <c r="A25" s="3" t="s">
        <v>92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>
        <v>25021</v>
      </c>
      <c r="N25" s="5">
        <f t="shared" si="5"/>
        <v>25021</v>
      </c>
    </row>
    <row r="26" spans="1:14" ht="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>
        <f t="shared" si="5"/>
        <v>0</v>
      </c>
    </row>
    <row r="27" spans="1:14" ht="15">
      <c r="A27" s="11" t="s">
        <v>93</v>
      </c>
      <c r="B27" s="8">
        <f>SUM(B28:B29)</f>
        <v>0</v>
      </c>
      <c r="C27" s="8">
        <f aca="true" t="shared" si="7" ref="C27:M27">SUM(C28:C29)</f>
        <v>0</v>
      </c>
      <c r="D27" s="8">
        <f t="shared" si="7"/>
        <v>0</v>
      </c>
      <c r="E27" s="8">
        <f t="shared" si="7"/>
        <v>0</v>
      </c>
      <c r="F27" s="8">
        <f t="shared" si="7"/>
        <v>0</v>
      </c>
      <c r="G27" s="8">
        <f t="shared" si="7"/>
        <v>0</v>
      </c>
      <c r="H27" s="8">
        <f t="shared" si="7"/>
        <v>0</v>
      </c>
      <c r="I27" s="8">
        <f t="shared" si="7"/>
        <v>0</v>
      </c>
      <c r="J27" s="8">
        <f t="shared" si="7"/>
        <v>0</v>
      </c>
      <c r="K27" s="8">
        <f t="shared" si="7"/>
        <v>0</v>
      </c>
      <c r="L27" s="8">
        <f t="shared" si="7"/>
        <v>0</v>
      </c>
      <c r="M27" s="8">
        <f t="shared" si="7"/>
        <v>0</v>
      </c>
      <c r="N27" s="19">
        <f t="shared" si="5"/>
        <v>0</v>
      </c>
    </row>
    <row r="28" spans="1:14" ht="15">
      <c r="A28" s="3" t="s">
        <v>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5">
      <c r="A29" s="3" t="s">
        <v>72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5">
      <c r="A31" s="11" t="s">
        <v>95</v>
      </c>
      <c r="B31" s="8">
        <f>SUM(B32)</f>
        <v>0</v>
      </c>
      <c r="C31" s="8">
        <f aca="true" t="shared" si="8" ref="C31:M31">SUM(C32)</f>
        <v>0</v>
      </c>
      <c r="D31" s="8">
        <f t="shared" si="8"/>
        <v>0</v>
      </c>
      <c r="E31" s="8">
        <f t="shared" si="8"/>
        <v>0</v>
      </c>
      <c r="F31" s="8">
        <f t="shared" si="8"/>
        <v>0</v>
      </c>
      <c r="G31" s="8">
        <f t="shared" si="8"/>
        <v>0</v>
      </c>
      <c r="H31" s="8">
        <f t="shared" si="8"/>
        <v>0</v>
      </c>
      <c r="I31" s="8">
        <f t="shared" si="8"/>
        <v>0</v>
      </c>
      <c r="J31" s="8">
        <f t="shared" si="8"/>
        <v>0</v>
      </c>
      <c r="K31" s="8">
        <f t="shared" si="8"/>
        <v>0</v>
      </c>
      <c r="L31" s="8">
        <f t="shared" si="8"/>
        <v>0</v>
      </c>
      <c r="M31" s="8">
        <f t="shared" si="8"/>
        <v>125982</v>
      </c>
      <c r="N31" s="19">
        <f>SUM(B31:M31)</f>
        <v>125982</v>
      </c>
    </row>
    <row r="32" spans="1:14" ht="15">
      <c r="A32" s="3" t="s">
        <v>96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>
        <v>125982</v>
      </c>
      <c r="N32" s="5">
        <f>SUM(B32:M32)</f>
        <v>125982</v>
      </c>
    </row>
    <row r="33" spans="1:14" ht="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1:14" ht="26.25">
      <c r="A34" s="11" t="s">
        <v>4</v>
      </c>
      <c r="B34" s="8">
        <f>B35+B38</f>
        <v>19388</v>
      </c>
      <c r="C34" s="8">
        <f aca="true" t="shared" si="9" ref="C34:M34">C35+C38</f>
        <v>2537</v>
      </c>
      <c r="D34" s="8">
        <f t="shared" si="9"/>
        <v>0</v>
      </c>
      <c r="E34" s="8">
        <f t="shared" si="9"/>
        <v>0</v>
      </c>
      <c r="F34" s="8">
        <f t="shared" si="9"/>
        <v>0</v>
      </c>
      <c r="G34" s="8">
        <f t="shared" si="9"/>
        <v>0</v>
      </c>
      <c r="H34" s="8">
        <f t="shared" si="9"/>
        <v>0</v>
      </c>
      <c r="I34" s="8">
        <f t="shared" si="9"/>
        <v>0</v>
      </c>
      <c r="J34" s="8">
        <f t="shared" si="9"/>
        <v>0</v>
      </c>
      <c r="K34" s="8">
        <f t="shared" si="9"/>
        <v>0</v>
      </c>
      <c r="L34" s="8">
        <f t="shared" si="9"/>
        <v>0</v>
      </c>
      <c r="M34" s="8">
        <f t="shared" si="9"/>
        <v>0</v>
      </c>
      <c r="N34" s="19">
        <f aca="true" t="shared" si="10" ref="N34:N45">SUM(B34:M34)</f>
        <v>21925</v>
      </c>
    </row>
    <row r="35" spans="1:14" ht="26.25">
      <c r="A35" s="6" t="s">
        <v>5</v>
      </c>
      <c r="B35" s="4">
        <f>SUM(B36:B37)</f>
        <v>19388</v>
      </c>
      <c r="C35" s="4">
        <f aca="true" t="shared" si="11" ref="C35:M35">SUM(C36:C37)</f>
        <v>2537</v>
      </c>
      <c r="D35" s="4">
        <f t="shared" si="11"/>
        <v>0</v>
      </c>
      <c r="E35" s="4">
        <f t="shared" si="11"/>
        <v>0</v>
      </c>
      <c r="F35" s="4">
        <f t="shared" si="11"/>
        <v>0</v>
      </c>
      <c r="G35" s="4">
        <f t="shared" si="11"/>
        <v>0</v>
      </c>
      <c r="H35" s="4">
        <f t="shared" si="11"/>
        <v>0</v>
      </c>
      <c r="I35" s="4">
        <f t="shared" si="11"/>
        <v>0</v>
      </c>
      <c r="J35" s="4">
        <f t="shared" si="11"/>
        <v>0</v>
      </c>
      <c r="K35" s="4">
        <f t="shared" si="11"/>
        <v>0</v>
      </c>
      <c r="L35" s="4">
        <f t="shared" si="11"/>
        <v>0</v>
      </c>
      <c r="M35" s="4">
        <f t="shared" si="11"/>
        <v>0</v>
      </c>
      <c r="N35" s="5">
        <f t="shared" si="10"/>
        <v>21925</v>
      </c>
    </row>
    <row r="36" spans="1:14" ht="15">
      <c r="A36" s="3" t="s">
        <v>6</v>
      </c>
      <c r="B36" s="62">
        <f>18753+635</f>
        <v>19388</v>
      </c>
      <c r="C36" s="62">
        <v>2537</v>
      </c>
      <c r="D36" s="62"/>
      <c r="E36" s="4"/>
      <c r="F36" s="4"/>
      <c r="G36" s="4"/>
      <c r="H36" s="4"/>
      <c r="I36" s="4"/>
      <c r="J36" s="4"/>
      <c r="K36" s="4"/>
      <c r="L36" s="4"/>
      <c r="M36" s="4"/>
      <c r="N36" s="5">
        <f t="shared" si="10"/>
        <v>21925</v>
      </c>
    </row>
    <row r="37" spans="1:14" ht="15">
      <c r="A37" s="3" t="s">
        <v>7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>
        <f t="shared" si="10"/>
        <v>0</v>
      </c>
    </row>
    <row r="38" spans="1:14" ht="15">
      <c r="A38" s="61" t="s">
        <v>8</v>
      </c>
      <c r="B38" s="62">
        <f>SUM(B39:B40)</f>
        <v>0</v>
      </c>
      <c r="C38" s="62">
        <f aca="true" t="shared" si="12" ref="C38:M38">SUM(C39:C40)</f>
        <v>0</v>
      </c>
      <c r="D38" s="62">
        <f t="shared" si="12"/>
        <v>0</v>
      </c>
      <c r="E38" s="62">
        <f t="shared" si="12"/>
        <v>0</v>
      </c>
      <c r="F38" s="62">
        <f t="shared" si="12"/>
        <v>0</v>
      </c>
      <c r="G38" s="62">
        <f t="shared" si="12"/>
        <v>0</v>
      </c>
      <c r="H38" s="62">
        <f t="shared" si="12"/>
        <v>0</v>
      </c>
      <c r="I38" s="62">
        <f t="shared" si="12"/>
        <v>0</v>
      </c>
      <c r="J38" s="62">
        <f t="shared" si="12"/>
        <v>0</v>
      </c>
      <c r="K38" s="62">
        <f t="shared" si="12"/>
        <v>0</v>
      </c>
      <c r="L38" s="62">
        <f t="shared" si="12"/>
        <v>0</v>
      </c>
      <c r="M38" s="62">
        <f t="shared" si="12"/>
        <v>0</v>
      </c>
      <c r="N38" s="5">
        <f t="shared" si="10"/>
        <v>0</v>
      </c>
    </row>
    <row r="39" spans="1:14" ht="15">
      <c r="A39" s="3" t="s">
        <v>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f t="shared" si="10"/>
        <v>0</v>
      </c>
    </row>
    <row r="40" spans="1:14" ht="15">
      <c r="A40" s="3" t="s">
        <v>10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>
        <f t="shared" si="10"/>
        <v>0</v>
      </c>
    </row>
    <row r="41" spans="1:14" ht="15">
      <c r="A41" s="137" t="s">
        <v>123</v>
      </c>
      <c r="B41" s="8">
        <f>SUM(B42:B43)</f>
        <v>0</v>
      </c>
      <c r="C41" s="8">
        <f aca="true" t="shared" si="13" ref="C41:M41">SUM(C42:C43)</f>
        <v>0</v>
      </c>
      <c r="D41" s="8">
        <f t="shared" si="13"/>
        <v>0</v>
      </c>
      <c r="E41" s="8">
        <f t="shared" si="13"/>
        <v>0</v>
      </c>
      <c r="F41" s="8">
        <f t="shared" si="13"/>
        <v>0</v>
      </c>
      <c r="G41" s="8">
        <f t="shared" si="13"/>
        <v>0</v>
      </c>
      <c r="H41" s="8">
        <f t="shared" si="13"/>
        <v>0</v>
      </c>
      <c r="I41" s="8">
        <f t="shared" si="13"/>
        <v>0</v>
      </c>
      <c r="J41" s="8">
        <f t="shared" si="13"/>
        <v>0</v>
      </c>
      <c r="K41" s="8">
        <f t="shared" si="13"/>
        <v>0</v>
      </c>
      <c r="L41" s="8">
        <f t="shared" si="13"/>
        <v>0</v>
      </c>
      <c r="M41" s="8">
        <f t="shared" si="13"/>
        <v>0</v>
      </c>
      <c r="N41" s="19">
        <f t="shared" si="10"/>
        <v>0</v>
      </c>
    </row>
    <row r="42" spans="1:14" ht="15">
      <c r="A42" s="6" t="s">
        <v>124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>
        <f t="shared" si="10"/>
        <v>0</v>
      </c>
    </row>
    <row r="43" spans="1:14" ht="15">
      <c r="A43" s="6" t="s">
        <v>125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f t="shared" si="10"/>
        <v>0</v>
      </c>
    </row>
    <row r="44" spans="1:14" ht="15">
      <c r="A44" s="57" t="s">
        <v>36</v>
      </c>
      <c r="B44" s="48">
        <f>B34+B19+B16+B13+B5+B3+B27+B31+B41</f>
        <v>76987</v>
      </c>
      <c r="C44" s="48">
        <f aca="true" t="shared" si="14" ref="C44:M44">C34+C19+C16+C13+C5+C3+C27+C31+C41</f>
        <v>55906</v>
      </c>
      <c r="D44" s="48">
        <f t="shared" si="14"/>
        <v>53369</v>
      </c>
      <c r="E44" s="48">
        <f t="shared" si="14"/>
        <v>55138</v>
      </c>
      <c r="F44" s="48">
        <f t="shared" si="14"/>
        <v>59257</v>
      </c>
      <c r="G44" s="48">
        <f t="shared" si="14"/>
        <v>59869</v>
      </c>
      <c r="H44" s="48">
        <f t="shared" si="14"/>
        <v>60969</v>
      </c>
      <c r="I44" s="48">
        <f t="shared" si="14"/>
        <v>64442</v>
      </c>
      <c r="J44" s="48">
        <f t="shared" si="14"/>
        <v>65469</v>
      </c>
      <c r="K44" s="48">
        <f t="shared" si="14"/>
        <v>66469</v>
      </c>
      <c r="L44" s="48">
        <f t="shared" si="14"/>
        <v>87042</v>
      </c>
      <c r="M44" s="48">
        <f t="shared" si="14"/>
        <v>753617</v>
      </c>
      <c r="N44" s="49">
        <f t="shared" si="10"/>
        <v>1458534</v>
      </c>
    </row>
    <row r="45" spans="1:14" ht="15">
      <c r="A45" s="60" t="s">
        <v>18</v>
      </c>
      <c r="B45" s="8">
        <f aca="true" t="shared" si="15" ref="B45:L45">SUM(B46:B51)</f>
        <v>44323</v>
      </c>
      <c r="C45" s="8">
        <f t="shared" si="15"/>
        <v>60982</v>
      </c>
      <c r="D45" s="8">
        <f t="shared" si="15"/>
        <v>69347</v>
      </c>
      <c r="E45" s="8">
        <f t="shared" si="15"/>
        <v>57348</v>
      </c>
      <c r="F45" s="8">
        <f t="shared" si="15"/>
        <v>57348</v>
      </c>
      <c r="G45" s="8">
        <f t="shared" si="15"/>
        <v>79347</v>
      </c>
      <c r="H45" s="8">
        <f t="shared" si="15"/>
        <v>90714</v>
      </c>
      <c r="I45" s="8">
        <f t="shared" si="15"/>
        <v>55495</v>
      </c>
      <c r="J45" s="8">
        <f t="shared" si="15"/>
        <v>55848</v>
      </c>
      <c r="K45" s="8">
        <f t="shared" si="15"/>
        <v>53316</v>
      </c>
      <c r="L45" s="8">
        <f t="shared" si="15"/>
        <v>64662</v>
      </c>
      <c r="M45" s="8">
        <f>SUM(M46:M51)</f>
        <v>121359</v>
      </c>
      <c r="N45" s="19">
        <f t="shared" si="10"/>
        <v>810089</v>
      </c>
    </row>
    <row r="46" spans="1:18" ht="15">
      <c r="A46" s="39" t="s">
        <v>13</v>
      </c>
      <c r="B46" s="4">
        <v>28729</v>
      </c>
      <c r="C46" s="4">
        <v>28729</v>
      </c>
      <c r="D46" s="4">
        <v>28729</v>
      </c>
      <c r="E46" s="4">
        <v>36729</v>
      </c>
      <c r="F46" s="4">
        <v>36729</v>
      </c>
      <c r="G46" s="4">
        <v>36729</v>
      </c>
      <c r="H46" s="4">
        <v>40729</v>
      </c>
      <c r="I46" s="4">
        <v>39379</v>
      </c>
      <c r="J46" s="4">
        <v>39729</v>
      </c>
      <c r="K46" s="4">
        <v>36729</v>
      </c>
      <c r="L46" s="4">
        <v>35078</v>
      </c>
      <c r="M46" s="4">
        <v>34729</v>
      </c>
      <c r="N46" s="5">
        <f aca="true" t="shared" si="16" ref="N46:N58">SUM(B46:M46)</f>
        <v>422747</v>
      </c>
      <c r="P46" s="98"/>
      <c r="Q46" s="1"/>
      <c r="R46" s="1"/>
    </row>
    <row r="47" spans="1:20" ht="15">
      <c r="A47" s="39" t="s">
        <v>14</v>
      </c>
      <c r="B47" s="4">
        <v>7817</v>
      </c>
      <c r="C47" s="4">
        <v>7817</v>
      </c>
      <c r="D47" s="4">
        <v>7817</v>
      </c>
      <c r="E47" s="4">
        <v>9817</v>
      </c>
      <c r="F47" s="4">
        <v>9817</v>
      </c>
      <c r="G47" s="4">
        <v>9817</v>
      </c>
      <c r="H47" s="4">
        <v>9817</v>
      </c>
      <c r="I47" s="4">
        <v>7814</v>
      </c>
      <c r="J47" s="4">
        <v>7817</v>
      </c>
      <c r="K47" s="4">
        <v>8017</v>
      </c>
      <c r="L47" s="4">
        <f>7817+260</f>
        <v>8077</v>
      </c>
      <c r="M47" s="4">
        <f>8077+651</f>
        <v>8728</v>
      </c>
      <c r="N47" s="5">
        <f t="shared" si="16"/>
        <v>103172</v>
      </c>
      <c r="Q47" s="1"/>
      <c r="T47" s="1"/>
    </row>
    <row r="48" spans="1:17" ht="15">
      <c r="A48" s="39" t="s">
        <v>15</v>
      </c>
      <c r="B48" s="4">
        <v>7777</v>
      </c>
      <c r="C48" s="4">
        <v>7777</v>
      </c>
      <c r="D48" s="4">
        <f>7777+24999</f>
        <v>32776</v>
      </c>
      <c r="E48" s="4">
        <v>10777</v>
      </c>
      <c r="F48" s="4">
        <v>10777</v>
      </c>
      <c r="G48" s="4">
        <f>7777+24999</f>
        <v>32776</v>
      </c>
      <c r="H48" s="4">
        <v>9643</v>
      </c>
      <c r="I48" s="4">
        <f>7777</f>
        <v>7777</v>
      </c>
      <c r="J48" s="4">
        <v>7777</v>
      </c>
      <c r="K48" s="4">
        <f>7777+268</f>
        <v>8045</v>
      </c>
      <c r="L48" s="4">
        <v>20982</v>
      </c>
      <c r="M48" s="4">
        <f>7777+7219+24068</f>
        <v>39064</v>
      </c>
      <c r="N48" s="5">
        <f t="shared" si="16"/>
        <v>195948</v>
      </c>
      <c r="P48" s="98"/>
      <c r="Q48" s="1"/>
    </row>
    <row r="49" spans="1:17" ht="15">
      <c r="A49" s="53" t="s">
        <v>68</v>
      </c>
      <c r="B49" s="4"/>
      <c r="C49" s="4">
        <v>15509</v>
      </c>
      <c r="D49" s="4"/>
      <c r="E49" s="4"/>
      <c r="F49" s="4"/>
      <c r="G49" s="4"/>
      <c r="H49" s="4">
        <v>30000</v>
      </c>
      <c r="I49" s="4"/>
      <c r="J49" s="4"/>
      <c r="K49" s="4"/>
      <c r="L49" s="4"/>
      <c r="M49" s="4">
        <v>38313</v>
      </c>
      <c r="N49" s="5">
        <f t="shared" si="16"/>
        <v>83822</v>
      </c>
      <c r="P49" s="98"/>
      <c r="Q49" s="1"/>
    </row>
    <row r="50" spans="1:17" ht="15">
      <c r="A50" s="39" t="s">
        <v>69</v>
      </c>
      <c r="B50" s="4"/>
      <c r="C50" s="4">
        <v>1150</v>
      </c>
      <c r="D50" s="4"/>
      <c r="E50" s="4"/>
      <c r="F50" s="4"/>
      <c r="G50" s="4"/>
      <c r="H50" s="4">
        <v>500</v>
      </c>
      <c r="I50" s="4">
        <v>500</v>
      </c>
      <c r="J50" s="4">
        <v>500</v>
      </c>
      <c r="K50" s="4">
        <v>500</v>
      </c>
      <c r="L50" s="4">
        <v>500</v>
      </c>
      <c r="M50" s="4">
        <v>500</v>
      </c>
      <c r="N50" s="5">
        <f t="shared" si="16"/>
        <v>4150</v>
      </c>
      <c r="P50" s="98"/>
      <c r="Q50" s="1"/>
    </row>
    <row r="51" spans="1:17" ht="15">
      <c r="A51" s="39" t="s">
        <v>59</v>
      </c>
      <c r="B51" s="4"/>
      <c r="C51" s="4"/>
      <c r="D51" s="4">
        <v>25</v>
      </c>
      <c r="E51" s="4">
        <v>25</v>
      </c>
      <c r="F51" s="4">
        <v>25</v>
      </c>
      <c r="G51" s="4">
        <v>25</v>
      </c>
      <c r="H51" s="4">
        <v>25</v>
      </c>
      <c r="I51" s="4">
        <v>25</v>
      </c>
      <c r="J51" s="4">
        <v>25</v>
      </c>
      <c r="K51" s="4">
        <v>25</v>
      </c>
      <c r="L51" s="4">
        <v>25</v>
      </c>
      <c r="M51" s="4">
        <v>25</v>
      </c>
      <c r="N51" s="5">
        <f t="shared" si="16"/>
        <v>250</v>
      </c>
      <c r="P51" s="98"/>
      <c r="Q51" s="1"/>
    </row>
    <row r="52" spans="1:17" ht="15">
      <c r="A52" s="59" t="s">
        <v>23</v>
      </c>
      <c r="B52" s="8">
        <f>SUM(B53:B55)</f>
        <v>0</v>
      </c>
      <c r="C52" s="8">
        <f aca="true" t="shared" si="17" ref="C52:M52">SUM(C53:C55)</f>
        <v>0</v>
      </c>
      <c r="D52" s="8">
        <f t="shared" si="17"/>
        <v>2000</v>
      </c>
      <c r="E52" s="8">
        <f t="shared" si="17"/>
        <v>0</v>
      </c>
      <c r="F52" s="8">
        <f t="shared" si="17"/>
        <v>0</v>
      </c>
      <c r="G52" s="8">
        <f t="shared" si="17"/>
        <v>7811</v>
      </c>
      <c r="H52" s="8">
        <f t="shared" si="17"/>
        <v>0</v>
      </c>
      <c r="I52" s="8">
        <f t="shared" si="17"/>
        <v>5248</v>
      </c>
      <c r="J52" s="8">
        <f t="shared" si="17"/>
        <v>4823</v>
      </c>
      <c r="K52" s="8">
        <f t="shared" si="17"/>
        <v>0</v>
      </c>
      <c r="L52" s="8">
        <f t="shared" si="17"/>
        <v>0</v>
      </c>
      <c r="M52" s="8">
        <f t="shared" si="17"/>
        <v>593839</v>
      </c>
      <c r="N52" s="19">
        <f t="shared" si="16"/>
        <v>613721</v>
      </c>
      <c r="P52" s="98"/>
      <c r="Q52" s="1"/>
    </row>
    <row r="53" spans="1:17" ht="15">
      <c r="A53" s="16" t="s">
        <v>61</v>
      </c>
      <c r="B53" s="4"/>
      <c r="C53" s="4"/>
      <c r="D53" s="4"/>
      <c r="E53" s="4"/>
      <c r="F53" s="4"/>
      <c r="G53" s="4">
        <v>7811</v>
      </c>
      <c r="H53" s="4"/>
      <c r="I53" s="4">
        <v>5248</v>
      </c>
      <c r="J53" s="4">
        <v>4823</v>
      </c>
      <c r="K53" s="4"/>
      <c r="L53" s="4"/>
      <c r="M53" s="4">
        <v>593839</v>
      </c>
      <c r="N53" s="5">
        <f t="shared" si="16"/>
        <v>611721</v>
      </c>
      <c r="Q53" s="1"/>
    </row>
    <row r="54" spans="1:14" ht="15">
      <c r="A54" s="16" t="s">
        <v>64</v>
      </c>
      <c r="B54" s="4"/>
      <c r="C54" s="4"/>
      <c r="D54" s="4">
        <v>2000</v>
      </c>
      <c r="E54" s="4"/>
      <c r="F54" s="4"/>
      <c r="G54" s="4"/>
      <c r="H54" s="4"/>
      <c r="I54" s="4"/>
      <c r="J54" s="4"/>
      <c r="K54" s="4"/>
      <c r="L54" s="4"/>
      <c r="M54" s="4"/>
      <c r="N54" s="5">
        <f t="shared" si="16"/>
        <v>2000</v>
      </c>
    </row>
    <row r="55" spans="1:14" ht="15">
      <c r="A55" s="17" t="s">
        <v>74</v>
      </c>
      <c r="B55" s="4">
        <f aca="true" t="shared" si="18" ref="B55:M55">SUM(B56:B56)</f>
        <v>0</v>
      </c>
      <c r="C55" s="4">
        <f t="shared" si="18"/>
        <v>0</v>
      </c>
      <c r="D55" s="4">
        <f t="shared" si="18"/>
        <v>0</v>
      </c>
      <c r="E55" s="4">
        <f t="shared" si="18"/>
        <v>0</v>
      </c>
      <c r="F55" s="4">
        <f t="shared" si="18"/>
        <v>0</v>
      </c>
      <c r="G55" s="4">
        <f t="shared" si="18"/>
        <v>0</v>
      </c>
      <c r="H55" s="4">
        <f t="shared" si="18"/>
        <v>0</v>
      </c>
      <c r="I55" s="4">
        <f t="shared" si="18"/>
        <v>0</v>
      </c>
      <c r="J55" s="4">
        <f t="shared" si="18"/>
        <v>0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5">
        <f t="shared" si="16"/>
        <v>0</v>
      </c>
    </row>
    <row r="56" spans="1:14" ht="15">
      <c r="A56" s="17" t="s">
        <v>75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>
        <f t="shared" si="16"/>
        <v>0</v>
      </c>
    </row>
    <row r="57" spans="1:14" ht="15">
      <c r="A57" s="18" t="s">
        <v>104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>
        <f>249+1942</f>
        <v>2191</v>
      </c>
      <c r="N57" s="19">
        <f t="shared" si="16"/>
        <v>2191</v>
      </c>
    </row>
    <row r="58" spans="1:14" ht="15">
      <c r="A58" s="18" t="s">
        <v>105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>
        <v>32533</v>
      </c>
      <c r="N58" s="19">
        <f t="shared" si="16"/>
        <v>32533</v>
      </c>
    </row>
    <row r="59" spans="1:14" ht="15.75" thickBot="1">
      <c r="A59" s="52" t="s">
        <v>37</v>
      </c>
      <c r="B59" s="27">
        <f>B58+B57+B52+B45</f>
        <v>44323</v>
      </c>
      <c r="C59" s="27">
        <f aca="true" t="shared" si="19" ref="C59:M59">C58+C57+C52+C45</f>
        <v>60982</v>
      </c>
      <c r="D59" s="27">
        <f t="shared" si="19"/>
        <v>71347</v>
      </c>
      <c r="E59" s="27">
        <f t="shared" si="19"/>
        <v>57348</v>
      </c>
      <c r="F59" s="27">
        <f t="shared" si="19"/>
        <v>57348</v>
      </c>
      <c r="G59" s="27">
        <f t="shared" si="19"/>
        <v>87158</v>
      </c>
      <c r="H59" s="27">
        <f t="shared" si="19"/>
        <v>90714</v>
      </c>
      <c r="I59" s="27">
        <f t="shared" si="19"/>
        <v>60743</v>
      </c>
      <c r="J59" s="27">
        <f t="shared" si="19"/>
        <v>60671</v>
      </c>
      <c r="K59" s="27">
        <f t="shared" si="19"/>
        <v>53316</v>
      </c>
      <c r="L59" s="27">
        <f t="shared" si="19"/>
        <v>64662</v>
      </c>
      <c r="M59" s="27">
        <f t="shared" si="19"/>
        <v>749922</v>
      </c>
      <c r="N59" s="58">
        <f>SUM(B59:M59)</f>
        <v>1458534</v>
      </c>
    </row>
    <row r="60" ht="15">
      <c r="N60" s="1"/>
    </row>
    <row r="61" spans="2:14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ht="15">
      <c r="N62" s="1"/>
    </row>
    <row r="63" ht="15">
      <c r="N63" s="1"/>
    </row>
  </sheetData>
  <sheetProtection/>
  <printOptions/>
  <pageMargins left="0.7" right="0.7" top="0.75" bottom="0.75" header="0.3" footer="0.3"/>
  <pageSetup horizontalDpi="600" verticalDpi="600" orientation="portrait" paperSize="9" scale="45" r:id="rId2"/>
  <headerFooter>
    <oddHeader>&amp;L&amp;G&amp;C.../2016 (IV.26.) számú határozat
a Marcali Kistérségi Többcélú Társulás
2015. évi költségvetésének módosításáról</oddHeader>
    <oddFooter>&amp;C&amp;P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68"/>
  <sheetViews>
    <sheetView workbookViewId="0" topLeftCell="A1">
      <selection activeCell="G54" sqref="G54"/>
    </sheetView>
  </sheetViews>
  <sheetFormatPr defaultColWidth="9.140625" defaultRowHeight="15"/>
  <cols>
    <col min="1" max="1" width="68.00390625" style="0" customWidth="1"/>
    <col min="2" max="4" width="11.28125" style="0" customWidth="1"/>
    <col min="5" max="5" width="10.28125" style="0" customWidth="1"/>
    <col min="6" max="6" width="11.8515625" style="0" customWidth="1"/>
    <col min="7" max="7" width="9.28125" style="0" bestFit="1" customWidth="1"/>
    <col min="8" max="8" width="9.28125" style="0" customWidth="1"/>
    <col min="9" max="9" width="11.421875" style="0" customWidth="1"/>
    <col min="10" max="10" width="9.28125" style="0" customWidth="1"/>
    <col min="11" max="11" width="13.28125" style="0" customWidth="1"/>
    <col min="12" max="12" width="14.28125" style="0" customWidth="1"/>
    <col min="13" max="13" width="11.421875" style="0" customWidth="1"/>
  </cols>
  <sheetData>
    <row r="1" spans="1:13" ht="15.75" thickBot="1">
      <c r="A1" s="2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5" t="s">
        <v>16</v>
      </c>
    </row>
    <row r="2" spans="1:13" ht="38.25">
      <c r="A2" s="113"/>
      <c r="B2" s="227" t="s">
        <v>101</v>
      </c>
      <c r="C2" s="227"/>
      <c r="D2" s="227"/>
      <c r="E2" s="227"/>
      <c r="F2" s="227"/>
      <c r="G2" s="227"/>
      <c r="H2" s="227"/>
      <c r="I2" s="227"/>
      <c r="J2" s="227"/>
      <c r="K2" s="114" t="s">
        <v>102</v>
      </c>
      <c r="L2" s="114" t="s">
        <v>103</v>
      </c>
      <c r="M2" s="228" t="s">
        <v>12</v>
      </c>
    </row>
    <row r="3" spans="1:13" ht="15" customHeight="1">
      <c r="A3" s="226"/>
      <c r="B3" s="225" t="s">
        <v>110</v>
      </c>
      <c r="C3" s="225" t="s">
        <v>111</v>
      </c>
      <c r="D3" s="223" t="s">
        <v>109</v>
      </c>
      <c r="E3" s="225" t="s">
        <v>55</v>
      </c>
      <c r="F3" s="225" t="s">
        <v>76</v>
      </c>
      <c r="G3" s="225" t="s">
        <v>46</v>
      </c>
      <c r="H3" s="223" t="s">
        <v>166</v>
      </c>
      <c r="I3" s="223" t="s">
        <v>112</v>
      </c>
      <c r="J3" s="225" t="s">
        <v>106</v>
      </c>
      <c r="K3" s="225" t="s">
        <v>47</v>
      </c>
      <c r="L3" s="225" t="s">
        <v>113</v>
      </c>
      <c r="M3" s="229"/>
    </row>
    <row r="4" spans="1:13" ht="46.5" customHeight="1">
      <c r="A4" s="226"/>
      <c r="B4" s="225"/>
      <c r="C4" s="225"/>
      <c r="D4" s="224"/>
      <c r="E4" s="225"/>
      <c r="F4" s="225"/>
      <c r="G4" s="225"/>
      <c r="H4" s="224"/>
      <c r="I4" s="224"/>
      <c r="J4" s="225"/>
      <c r="K4" s="225"/>
      <c r="L4" s="225"/>
      <c r="M4" s="229"/>
    </row>
    <row r="5" spans="1:13" ht="15">
      <c r="A5" s="11" t="s">
        <v>1</v>
      </c>
      <c r="B5" s="64">
        <f>B6</f>
        <v>4705</v>
      </c>
      <c r="C5" s="64">
        <f>C6</f>
        <v>0</v>
      </c>
      <c r="D5" s="64">
        <f>D6</f>
        <v>1043</v>
      </c>
      <c r="E5" s="64">
        <f aca="true" t="shared" si="0" ref="E5:M5">E6</f>
        <v>0</v>
      </c>
      <c r="F5" s="64">
        <f t="shared" si="0"/>
        <v>0</v>
      </c>
      <c r="G5" s="64">
        <f t="shared" si="0"/>
        <v>0</v>
      </c>
      <c r="H5" s="64">
        <f t="shared" si="0"/>
        <v>0</v>
      </c>
      <c r="I5" s="64">
        <f t="shared" si="0"/>
        <v>0</v>
      </c>
      <c r="J5" s="64">
        <f t="shared" si="0"/>
        <v>0</v>
      </c>
      <c r="K5" s="64">
        <f t="shared" si="0"/>
        <v>1270</v>
      </c>
      <c r="L5" s="64">
        <f t="shared" si="0"/>
        <v>0</v>
      </c>
      <c r="M5" s="65">
        <f t="shared" si="0"/>
        <v>7018</v>
      </c>
    </row>
    <row r="6" spans="1:13" ht="15">
      <c r="A6" s="3" t="s">
        <v>2</v>
      </c>
      <c r="B6" s="66">
        <v>4705</v>
      </c>
      <c r="C6" s="66"/>
      <c r="D6" s="66">
        <v>1043</v>
      </c>
      <c r="E6" s="66"/>
      <c r="F6" s="66"/>
      <c r="G6" s="66"/>
      <c r="H6" s="66"/>
      <c r="I6" s="66"/>
      <c r="J6" s="66"/>
      <c r="K6" s="66">
        <v>1270</v>
      </c>
      <c r="L6" s="110"/>
      <c r="M6" s="67">
        <f>SUM(B6:L6)</f>
        <v>7018</v>
      </c>
    </row>
    <row r="7" spans="1:13" ht="15">
      <c r="A7" s="3"/>
      <c r="B7" s="66"/>
      <c r="C7" s="66"/>
      <c r="D7" s="66"/>
      <c r="E7" s="66"/>
      <c r="F7" s="66"/>
      <c r="G7" s="66"/>
      <c r="H7" s="66"/>
      <c r="I7" s="66"/>
      <c r="J7" s="66"/>
      <c r="K7" s="66"/>
      <c r="L7" s="110"/>
      <c r="M7" s="67">
        <f>SUM(B7:L7)</f>
        <v>0</v>
      </c>
    </row>
    <row r="8" spans="1:13" ht="15">
      <c r="A8" s="11" t="s">
        <v>77</v>
      </c>
      <c r="B8" s="64">
        <f>SUM(B9:B14)</f>
        <v>230032</v>
      </c>
      <c r="C8" s="64">
        <f>SUM(C9:C14)</f>
        <v>274558</v>
      </c>
      <c r="D8" s="64">
        <f>SUM(D9:D14)</f>
        <v>15046</v>
      </c>
      <c r="E8" s="64">
        <f aca="true" t="shared" si="1" ref="E8:L8">SUM(E9:E14)</f>
        <v>23868</v>
      </c>
      <c r="F8" s="64">
        <f t="shared" si="1"/>
        <v>89384</v>
      </c>
      <c r="G8" s="64">
        <f t="shared" si="1"/>
        <v>11874</v>
      </c>
      <c r="H8" s="64">
        <f>SUM(H9:H14)</f>
        <v>3000</v>
      </c>
      <c r="I8" s="64">
        <f t="shared" si="1"/>
        <v>0</v>
      </c>
      <c r="J8" s="64">
        <f t="shared" si="1"/>
        <v>788</v>
      </c>
      <c r="K8" s="64">
        <f t="shared" si="1"/>
        <v>0</v>
      </c>
      <c r="L8" s="64">
        <f t="shared" si="1"/>
        <v>5152</v>
      </c>
      <c r="M8" s="65">
        <f>SUM(B8:L8)</f>
        <v>653702</v>
      </c>
    </row>
    <row r="9" spans="1:13" ht="15">
      <c r="A9" s="3" t="s">
        <v>81</v>
      </c>
      <c r="B9" s="68"/>
      <c r="C9" s="68"/>
      <c r="D9" s="68"/>
      <c r="E9" s="115">
        <f>31929-8298</f>
        <v>23631</v>
      </c>
      <c r="F9" s="115">
        <f>6466+74620+8298</f>
        <v>89384</v>
      </c>
      <c r="G9" s="68"/>
      <c r="H9" s="68"/>
      <c r="I9" s="68"/>
      <c r="J9" s="68"/>
      <c r="K9" s="68"/>
      <c r="L9" s="111"/>
      <c r="M9" s="69">
        <f>SUM(B9:L9)</f>
        <v>113015</v>
      </c>
    </row>
    <row r="10" spans="1:13" ht="15">
      <c r="A10" s="3" t="s">
        <v>82</v>
      </c>
      <c r="B10" s="66"/>
      <c r="C10" s="66"/>
      <c r="D10" s="66"/>
      <c r="E10" s="66"/>
      <c r="F10" s="66"/>
      <c r="G10" s="66"/>
      <c r="H10" s="66">
        <v>3000</v>
      </c>
      <c r="I10" s="66"/>
      <c r="J10" s="66"/>
      <c r="K10" s="66"/>
      <c r="L10" s="110"/>
      <c r="M10" s="67">
        <f aca="true" t="shared" si="2" ref="M10:M66">SUM(B10:L10)</f>
        <v>3000</v>
      </c>
    </row>
    <row r="11" spans="1:16" ht="15">
      <c r="A11" s="3" t="s">
        <v>83</v>
      </c>
      <c r="B11" s="66">
        <f>226234+3798</f>
        <v>230032</v>
      </c>
      <c r="C11" s="66">
        <f>267706+4910+1942</f>
        <v>274558</v>
      </c>
      <c r="D11" s="66">
        <f>14646+2106-1706</f>
        <v>15046</v>
      </c>
      <c r="E11" s="66">
        <v>237</v>
      </c>
      <c r="F11" s="66"/>
      <c r="G11" s="66">
        <v>11874</v>
      </c>
      <c r="H11" s="66"/>
      <c r="I11" s="66"/>
      <c r="J11" s="66"/>
      <c r="K11" s="66"/>
      <c r="L11" s="110">
        <v>5152</v>
      </c>
      <c r="M11" s="67">
        <f t="shared" si="2"/>
        <v>536899</v>
      </c>
      <c r="P11" s="1"/>
    </row>
    <row r="12" spans="1:13" ht="15">
      <c r="A12" s="3" t="s">
        <v>84</v>
      </c>
      <c r="B12" s="105"/>
      <c r="C12" s="105"/>
      <c r="D12" s="105"/>
      <c r="E12" s="105"/>
      <c r="F12" s="105"/>
      <c r="G12" s="105"/>
      <c r="H12" s="105"/>
      <c r="I12" s="105"/>
      <c r="J12" s="105">
        <v>788</v>
      </c>
      <c r="K12" s="105"/>
      <c r="L12" s="112"/>
      <c r="M12" s="106">
        <f t="shared" si="2"/>
        <v>788</v>
      </c>
    </row>
    <row r="13" spans="1:13" ht="15">
      <c r="A13" s="3" t="s">
        <v>85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110"/>
      <c r="M13" s="67">
        <f t="shared" si="2"/>
        <v>0</v>
      </c>
    </row>
    <row r="14" spans="1:13" ht="15">
      <c r="A14" s="3" t="s">
        <v>86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110"/>
      <c r="M14" s="67">
        <f t="shared" si="2"/>
        <v>0</v>
      </c>
    </row>
    <row r="15" spans="1:13" ht="15">
      <c r="A15" s="3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110"/>
      <c r="M15" s="67">
        <f t="shared" si="2"/>
        <v>0</v>
      </c>
    </row>
    <row r="16" spans="1:13" ht="15">
      <c r="A16" s="11" t="s">
        <v>78</v>
      </c>
      <c r="B16" s="64">
        <f aca="true" t="shared" si="3" ref="B16:L16">SUM(B17:B17)</f>
        <v>0</v>
      </c>
      <c r="C16" s="64">
        <f t="shared" si="3"/>
        <v>0</v>
      </c>
      <c r="D16" s="64">
        <f t="shared" si="3"/>
        <v>0</v>
      </c>
      <c r="E16" s="64">
        <f t="shared" si="3"/>
        <v>0</v>
      </c>
      <c r="F16" s="64">
        <f t="shared" si="3"/>
        <v>0</v>
      </c>
      <c r="G16" s="64">
        <f t="shared" si="3"/>
        <v>0</v>
      </c>
      <c r="H16" s="64">
        <f t="shared" si="3"/>
        <v>0</v>
      </c>
      <c r="I16" s="64">
        <f t="shared" si="3"/>
        <v>0</v>
      </c>
      <c r="J16" s="64">
        <f t="shared" si="3"/>
        <v>0</v>
      </c>
      <c r="K16" s="64">
        <f t="shared" si="3"/>
        <v>0</v>
      </c>
      <c r="L16" s="64">
        <f t="shared" si="3"/>
        <v>0</v>
      </c>
      <c r="M16" s="65">
        <f t="shared" si="2"/>
        <v>0</v>
      </c>
    </row>
    <row r="17" spans="1:13" ht="15">
      <c r="A17" s="3" t="s">
        <v>94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>
        <f t="shared" si="2"/>
        <v>0</v>
      </c>
    </row>
    <row r="18" spans="1:13" ht="15">
      <c r="A18" s="3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7">
        <f t="shared" si="2"/>
        <v>0</v>
      </c>
    </row>
    <row r="19" spans="1:13" ht="15">
      <c r="A19" s="11" t="s">
        <v>79</v>
      </c>
      <c r="B19" s="64">
        <f aca="true" t="shared" si="4" ref="B19:L19">SUM(B20:B20)</f>
        <v>0</v>
      </c>
      <c r="C19" s="64">
        <f t="shared" si="4"/>
        <v>0</v>
      </c>
      <c r="D19" s="64">
        <f t="shared" si="4"/>
        <v>0</v>
      </c>
      <c r="E19" s="64">
        <f t="shared" si="4"/>
        <v>0</v>
      </c>
      <c r="F19" s="64">
        <f t="shared" si="4"/>
        <v>0</v>
      </c>
      <c r="G19" s="64">
        <f t="shared" si="4"/>
        <v>0</v>
      </c>
      <c r="H19" s="64">
        <f t="shared" si="4"/>
        <v>0</v>
      </c>
      <c r="I19" s="64">
        <f t="shared" si="4"/>
        <v>0</v>
      </c>
      <c r="J19" s="64">
        <f t="shared" si="4"/>
        <v>0</v>
      </c>
      <c r="K19" s="64">
        <f t="shared" si="4"/>
        <v>0</v>
      </c>
      <c r="L19" s="64">
        <f t="shared" si="4"/>
        <v>0</v>
      </c>
      <c r="M19" s="65">
        <f t="shared" si="2"/>
        <v>0</v>
      </c>
    </row>
    <row r="20" spans="1:13" ht="15">
      <c r="A20" s="3" t="s">
        <v>99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7">
        <f t="shared" si="2"/>
        <v>0</v>
      </c>
    </row>
    <row r="21" spans="1:13" ht="15">
      <c r="A21" s="3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7">
        <f t="shared" si="2"/>
        <v>0</v>
      </c>
    </row>
    <row r="22" spans="1:13" ht="15">
      <c r="A22" s="11" t="s">
        <v>80</v>
      </c>
      <c r="B22" s="64">
        <f>SUM(B23:B28)</f>
        <v>0</v>
      </c>
      <c r="C22" s="64">
        <f>SUM(C23:C28)</f>
        <v>0</v>
      </c>
      <c r="D22" s="64">
        <f>SUM(D23:D28)</f>
        <v>0</v>
      </c>
      <c r="E22" s="64">
        <f aca="true" t="shared" si="5" ref="E22:K22">SUM(E23:E28)</f>
        <v>0</v>
      </c>
      <c r="F22" s="64">
        <f t="shared" si="5"/>
        <v>0</v>
      </c>
      <c r="G22" s="64">
        <f t="shared" si="5"/>
        <v>0</v>
      </c>
      <c r="H22" s="64">
        <f>SUM(H23:H28)</f>
        <v>0</v>
      </c>
      <c r="I22" s="64">
        <f>SUM(I23:I28)</f>
        <v>500416</v>
      </c>
      <c r="J22" s="64">
        <f>SUM(J23:J28)</f>
        <v>0</v>
      </c>
      <c r="K22" s="64">
        <f t="shared" si="5"/>
        <v>0</v>
      </c>
      <c r="L22" s="64">
        <f>SUM(L23:L28)</f>
        <v>0</v>
      </c>
      <c r="M22" s="65">
        <f t="shared" si="2"/>
        <v>500416</v>
      </c>
    </row>
    <row r="23" spans="1:13" ht="15">
      <c r="A23" s="3" t="s">
        <v>87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7">
        <f t="shared" si="2"/>
        <v>0</v>
      </c>
    </row>
    <row r="24" spans="1:13" ht="15">
      <c r="A24" s="3" t="s">
        <v>88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7">
        <f t="shared" si="2"/>
        <v>0</v>
      </c>
    </row>
    <row r="25" spans="1:13" ht="15">
      <c r="A25" s="3" t="s">
        <v>89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7">
        <f t="shared" si="2"/>
        <v>0</v>
      </c>
    </row>
    <row r="26" spans="1:13" ht="15">
      <c r="A26" s="3" t="s">
        <v>90</v>
      </c>
      <c r="B26" s="66"/>
      <c r="C26" s="66"/>
      <c r="D26" s="66"/>
      <c r="E26" s="66"/>
      <c r="F26" s="66"/>
      <c r="G26" s="66"/>
      <c r="H26" s="66"/>
      <c r="I26" s="66">
        <v>475395</v>
      </c>
      <c r="J26" s="66"/>
      <c r="K26" s="66"/>
      <c r="L26" s="66"/>
      <c r="M26" s="67">
        <f t="shared" si="2"/>
        <v>475395</v>
      </c>
    </row>
    <row r="27" spans="1:13" ht="15">
      <c r="A27" s="3" t="s">
        <v>91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>
        <f t="shared" si="2"/>
        <v>0</v>
      </c>
    </row>
    <row r="28" spans="1:13" ht="15">
      <c r="A28" s="3" t="s">
        <v>92</v>
      </c>
      <c r="B28" s="66"/>
      <c r="C28" s="66"/>
      <c r="D28" s="66"/>
      <c r="E28" s="66"/>
      <c r="F28" s="66"/>
      <c r="G28" s="66"/>
      <c r="H28" s="66"/>
      <c r="I28" s="66">
        <v>25021</v>
      </c>
      <c r="J28" s="66"/>
      <c r="K28" s="66"/>
      <c r="L28" s="66"/>
      <c r="M28" s="67">
        <f t="shared" si="2"/>
        <v>25021</v>
      </c>
    </row>
    <row r="29" spans="1:13" ht="15">
      <c r="A29" s="3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7">
        <f t="shared" si="2"/>
        <v>0</v>
      </c>
    </row>
    <row r="30" spans="1:13" ht="15">
      <c r="A30" s="11" t="s">
        <v>93</v>
      </c>
      <c r="B30" s="108">
        <f>SUM(B31:B32)</f>
        <v>0</v>
      </c>
      <c r="C30" s="108">
        <f>SUM(C31:C32)</f>
        <v>0</v>
      </c>
      <c r="D30" s="108">
        <f>SUM(D31:D32)</f>
        <v>0</v>
      </c>
      <c r="E30" s="108">
        <f aca="true" t="shared" si="6" ref="E30:K30">SUM(E31:E32)</f>
        <v>0</v>
      </c>
      <c r="F30" s="108">
        <f t="shared" si="6"/>
        <v>0</v>
      </c>
      <c r="G30" s="108">
        <f t="shared" si="6"/>
        <v>0</v>
      </c>
      <c r="H30" s="108">
        <f>SUM(H31:H32)</f>
        <v>0</v>
      </c>
      <c r="I30" s="108">
        <f t="shared" si="6"/>
        <v>0</v>
      </c>
      <c r="J30" s="108">
        <f t="shared" si="6"/>
        <v>0</v>
      </c>
      <c r="K30" s="108">
        <f t="shared" si="6"/>
        <v>0</v>
      </c>
      <c r="L30" s="108">
        <f>SUM(L31:L32)</f>
        <v>0</v>
      </c>
      <c r="M30" s="65">
        <f t="shared" si="2"/>
        <v>0</v>
      </c>
    </row>
    <row r="31" spans="1:13" ht="15">
      <c r="A31" s="3" t="s">
        <v>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>
        <f t="shared" si="2"/>
        <v>0</v>
      </c>
    </row>
    <row r="32" spans="1:13" ht="15">
      <c r="A32" s="3" t="s">
        <v>72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7">
        <f t="shared" si="2"/>
        <v>0</v>
      </c>
    </row>
    <row r="33" spans="1:13" ht="15">
      <c r="A33" s="3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7">
        <f t="shared" si="2"/>
        <v>0</v>
      </c>
    </row>
    <row r="34" spans="1:13" ht="15">
      <c r="A34" s="11" t="s">
        <v>95</v>
      </c>
      <c r="B34" s="108">
        <f>B35</f>
        <v>0</v>
      </c>
      <c r="C34" s="108">
        <f>C35</f>
        <v>0</v>
      </c>
      <c r="D34" s="108">
        <f>D35</f>
        <v>0</v>
      </c>
      <c r="E34" s="108">
        <f aca="true" t="shared" si="7" ref="E34:L34">E35</f>
        <v>0</v>
      </c>
      <c r="F34" s="108">
        <f t="shared" si="7"/>
        <v>0</v>
      </c>
      <c r="G34" s="108">
        <f t="shared" si="7"/>
        <v>0</v>
      </c>
      <c r="H34" s="108">
        <f t="shared" si="7"/>
        <v>0</v>
      </c>
      <c r="I34" s="108">
        <f t="shared" si="7"/>
        <v>125982</v>
      </c>
      <c r="J34" s="108">
        <f t="shared" si="7"/>
        <v>0</v>
      </c>
      <c r="K34" s="108">
        <f t="shared" si="7"/>
        <v>0</v>
      </c>
      <c r="L34" s="108">
        <f t="shared" si="7"/>
        <v>0</v>
      </c>
      <c r="M34" s="65">
        <f t="shared" si="2"/>
        <v>125982</v>
      </c>
    </row>
    <row r="35" spans="1:13" ht="15">
      <c r="A35" s="3" t="s">
        <v>96</v>
      </c>
      <c r="B35" s="66"/>
      <c r="C35" s="66"/>
      <c r="D35" s="66"/>
      <c r="E35" s="66"/>
      <c r="F35" s="66"/>
      <c r="G35" s="66"/>
      <c r="H35" s="66"/>
      <c r="I35" s="66">
        <v>125982</v>
      </c>
      <c r="J35" s="66"/>
      <c r="K35" s="66"/>
      <c r="L35" s="66"/>
      <c r="M35" s="67">
        <f t="shared" si="2"/>
        <v>125982</v>
      </c>
    </row>
    <row r="36" spans="1:13" ht="15">
      <c r="A36" s="3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7">
        <f t="shared" si="2"/>
        <v>0</v>
      </c>
    </row>
    <row r="37" spans="1:13" ht="15">
      <c r="A37" s="13" t="s">
        <v>97</v>
      </c>
      <c r="B37" s="70">
        <f>B5+B8+B16+B19+B22+B30+B34</f>
        <v>234737</v>
      </c>
      <c r="C37" s="70">
        <f>C5+C8+C16+C19+C22+C30+C34</f>
        <v>274558</v>
      </c>
      <c r="D37" s="70">
        <f>D5+D8+D16+D19+D22+D30+D34</f>
        <v>16089</v>
      </c>
      <c r="E37" s="70">
        <f aca="true" t="shared" si="8" ref="E37:K37">E5+E8+E16+E19+E22+E30+E34</f>
        <v>23868</v>
      </c>
      <c r="F37" s="70">
        <f t="shared" si="8"/>
        <v>89384</v>
      </c>
      <c r="G37" s="70">
        <f t="shared" si="8"/>
        <v>11874</v>
      </c>
      <c r="H37" s="70">
        <f>H5+H8+H16+H19+H22+H30+H34</f>
        <v>3000</v>
      </c>
      <c r="I37" s="70">
        <f t="shared" si="8"/>
        <v>626398</v>
      </c>
      <c r="J37" s="70">
        <f t="shared" si="8"/>
        <v>788</v>
      </c>
      <c r="K37" s="70">
        <f t="shared" si="8"/>
        <v>1270</v>
      </c>
      <c r="L37" s="70">
        <f>L5+L8+L16+L19+L22+L30+L34</f>
        <v>5152</v>
      </c>
      <c r="M37" s="71">
        <f t="shared" si="2"/>
        <v>1287118</v>
      </c>
    </row>
    <row r="38" spans="1:13" ht="15">
      <c r="A38" s="3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>
        <f t="shared" si="2"/>
        <v>0</v>
      </c>
    </row>
    <row r="39" spans="1:13" ht="26.25">
      <c r="A39" s="13" t="s">
        <v>98</v>
      </c>
      <c r="B39" s="70">
        <f>B40+B43</f>
        <v>0</v>
      </c>
      <c r="C39" s="70">
        <f>C40+C43</f>
        <v>0</v>
      </c>
      <c r="D39" s="70">
        <f>D40+D43</f>
        <v>18753</v>
      </c>
      <c r="E39" s="70">
        <f aca="true" t="shared" si="9" ref="E39:K39">E40+E43</f>
        <v>0</v>
      </c>
      <c r="F39" s="70">
        <f t="shared" si="9"/>
        <v>0</v>
      </c>
      <c r="G39" s="70">
        <f t="shared" si="9"/>
        <v>0</v>
      </c>
      <c r="H39" s="70">
        <f>H40+H43</f>
        <v>0</v>
      </c>
      <c r="I39" s="70">
        <f>I40+I43</f>
        <v>0</v>
      </c>
      <c r="J39" s="70">
        <f>J40+J43</f>
        <v>0</v>
      </c>
      <c r="K39" s="70">
        <f t="shared" si="9"/>
        <v>0</v>
      </c>
      <c r="L39" s="70">
        <f>L40+L43</f>
        <v>0</v>
      </c>
      <c r="M39" s="71">
        <f t="shared" si="2"/>
        <v>18753</v>
      </c>
    </row>
    <row r="40" spans="1:13" ht="26.25">
      <c r="A40" s="6" t="s">
        <v>5</v>
      </c>
      <c r="B40" s="72">
        <f>SUM(B41:B42)</f>
        <v>0</v>
      </c>
      <c r="C40" s="72">
        <f>SUM(C41:C42)</f>
        <v>0</v>
      </c>
      <c r="D40" s="72">
        <f>SUM(D41:D42)</f>
        <v>18753</v>
      </c>
      <c r="E40" s="72">
        <f aca="true" t="shared" si="10" ref="E40:L40">SUM(E41:E42)</f>
        <v>0</v>
      </c>
      <c r="F40" s="72">
        <f t="shared" si="10"/>
        <v>0</v>
      </c>
      <c r="G40" s="68">
        <f t="shared" si="10"/>
        <v>0</v>
      </c>
      <c r="H40" s="68">
        <f>SUM(H41:H42)</f>
        <v>0</v>
      </c>
      <c r="I40" s="68">
        <f>SUM(I41:I42)</f>
        <v>0</v>
      </c>
      <c r="J40" s="68">
        <f>SUM(J41:J42)</f>
        <v>0</v>
      </c>
      <c r="K40" s="68">
        <f t="shared" si="10"/>
        <v>0</v>
      </c>
      <c r="L40" s="68">
        <f t="shared" si="10"/>
        <v>0</v>
      </c>
      <c r="M40" s="69">
        <f t="shared" si="2"/>
        <v>18753</v>
      </c>
    </row>
    <row r="41" spans="1:16" ht="15">
      <c r="A41" s="3" t="s">
        <v>6</v>
      </c>
      <c r="B41" s="66"/>
      <c r="C41" s="66"/>
      <c r="D41" s="105">
        <v>18753</v>
      </c>
      <c r="E41" s="105"/>
      <c r="F41" s="66"/>
      <c r="G41" s="66"/>
      <c r="H41" s="66"/>
      <c r="I41" s="66"/>
      <c r="J41" s="66"/>
      <c r="K41" s="66"/>
      <c r="L41" s="110"/>
      <c r="M41" s="67">
        <f t="shared" si="2"/>
        <v>18753</v>
      </c>
      <c r="P41" s="1"/>
    </row>
    <row r="42" spans="1:13" ht="15">
      <c r="A42" s="3" t="s">
        <v>7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110"/>
      <c r="M42" s="67">
        <f t="shared" si="2"/>
        <v>0</v>
      </c>
    </row>
    <row r="43" spans="1:13" ht="15">
      <c r="A43" s="6" t="s">
        <v>8</v>
      </c>
      <c r="B43" s="68">
        <f>SUM(B44:B45)</f>
        <v>0</v>
      </c>
      <c r="C43" s="68">
        <f>SUM(C44:C45)</f>
        <v>0</v>
      </c>
      <c r="D43" s="68">
        <f>SUM(D44:D45)</f>
        <v>0</v>
      </c>
      <c r="E43" s="68">
        <f aca="true" t="shared" si="11" ref="E43:L43">SUM(E44:E45)</f>
        <v>0</v>
      </c>
      <c r="F43" s="68">
        <f t="shared" si="11"/>
        <v>0</v>
      </c>
      <c r="G43" s="68">
        <f t="shared" si="11"/>
        <v>0</v>
      </c>
      <c r="H43" s="68">
        <f>SUM(H44:H45)</f>
        <v>0</v>
      </c>
      <c r="I43" s="68">
        <f>SUM(I44:I45)</f>
        <v>0</v>
      </c>
      <c r="J43" s="68">
        <f>SUM(J44:J45)</f>
        <v>0</v>
      </c>
      <c r="K43" s="68">
        <f t="shared" si="11"/>
        <v>0</v>
      </c>
      <c r="L43" s="68">
        <f t="shared" si="11"/>
        <v>0</v>
      </c>
      <c r="M43" s="69">
        <f t="shared" si="2"/>
        <v>0</v>
      </c>
    </row>
    <row r="44" spans="1:13" ht="15">
      <c r="A44" s="3" t="s">
        <v>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110"/>
      <c r="M44" s="67">
        <f t="shared" si="2"/>
        <v>0</v>
      </c>
    </row>
    <row r="45" spans="1:13" ht="15">
      <c r="A45" s="3" t="s">
        <v>10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110"/>
      <c r="M45" s="67">
        <f t="shared" si="2"/>
        <v>0</v>
      </c>
    </row>
    <row r="46" spans="1:13" ht="15">
      <c r="A46" s="130" t="s">
        <v>123</v>
      </c>
      <c r="B46" s="70">
        <f>SUM(B47:B48)</f>
        <v>0</v>
      </c>
      <c r="C46" s="70">
        <f aca="true" t="shared" si="12" ref="C46:L46">SUM(C47:C48)</f>
        <v>0</v>
      </c>
      <c r="D46" s="70">
        <f t="shared" si="12"/>
        <v>0</v>
      </c>
      <c r="E46" s="70">
        <f t="shared" si="12"/>
        <v>0</v>
      </c>
      <c r="F46" s="70">
        <f t="shared" si="12"/>
        <v>0</v>
      </c>
      <c r="G46" s="70">
        <f t="shared" si="12"/>
        <v>0</v>
      </c>
      <c r="H46" s="70">
        <f>SUM(H47:H48)</f>
        <v>0</v>
      </c>
      <c r="I46" s="70">
        <f t="shared" si="12"/>
        <v>0</v>
      </c>
      <c r="J46" s="70">
        <f t="shared" si="12"/>
        <v>0</v>
      </c>
      <c r="K46" s="70">
        <f t="shared" si="12"/>
        <v>0</v>
      </c>
      <c r="L46" s="70">
        <f t="shared" si="12"/>
        <v>0</v>
      </c>
      <c r="M46" s="71">
        <f t="shared" si="2"/>
        <v>0</v>
      </c>
    </row>
    <row r="47" spans="1:13" ht="15">
      <c r="A47" s="6" t="s">
        <v>124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110"/>
      <c r="M47" s="67">
        <f t="shared" si="2"/>
        <v>0</v>
      </c>
    </row>
    <row r="48" spans="1:13" ht="15">
      <c r="A48" s="6" t="s">
        <v>125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110"/>
      <c r="M48" s="67">
        <f t="shared" si="2"/>
        <v>0</v>
      </c>
    </row>
    <row r="49" spans="1:13" ht="15">
      <c r="A49" s="47" t="s">
        <v>11</v>
      </c>
      <c r="B49" s="73">
        <f>B37+B39+B46</f>
        <v>234737</v>
      </c>
      <c r="C49" s="73">
        <f aca="true" t="shared" si="13" ref="C49:L49">C37+C39+C46</f>
        <v>274558</v>
      </c>
      <c r="D49" s="73">
        <f t="shared" si="13"/>
        <v>34842</v>
      </c>
      <c r="E49" s="73">
        <f t="shared" si="13"/>
        <v>23868</v>
      </c>
      <c r="F49" s="73">
        <f t="shared" si="13"/>
        <v>89384</v>
      </c>
      <c r="G49" s="73">
        <f t="shared" si="13"/>
        <v>11874</v>
      </c>
      <c r="H49" s="73">
        <f>H37+H39+H46</f>
        <v>3000</v>
      </c>
      <c r="I49" s="73">
        <f t="shared" si="13"/>
        <v>626398</v>
      </c>
      <c r="J49" s="73">
        <f t="shared" si="13"/>
        <v>788</v>
      </c>
      <c r="K49" s="73">
        <f t="shared" si="13"/>
        <v>1270</v>
      </c>
      <c r="L49" s="73">
        <f t="shared" si="13"/>
        <v>5152</v>
      </c>
      <c r="M49" s="74">
        <f t="shared" si="2"/>
        <v>1305871</v>
      </c>
    </row>
    <row r="50" spans="1:13" ht="15">
      <c r="A50" s="59" t="s">
        <v>18</v>
      </c>
      <c r="B50" s="64">
        <f>SUM(B51:B56)</f>
        <v>230939</v>
      </c>
      <c r="C50" s="64">
        <f aca="true" t="shared" si="14" ref="C50:L50">SUM(C51:C56)</f>
        <v>267706</v>
      </c>
      <c r="D50" s="64">
        <f t="shared" si="14"/>
        <v>13463</v>
      </c>
      <c r="E50" s="64">
        <f t="shared" si="14"/>
        <v>17583</v>
      </c>
      <c r="F50" s="64">
        <f t="shared" si="14"/>
        <v>76947</v>
      </c>
      <c r="G50" s="64">
        <f t="shared" si="14"/>
        <v>10752</v>
      </c>
      <c r="H50" s="64">
        <f>SUM(H51:H56)</f>
        <v>3000</v>
      </c>
      <c r="I50" s="64">
        <f t="shared" si="14"/>
        <v>39527</v>
      </c>
      <c r="J50" s="64">
        <f t="shared" si="14"/>
        <v>0</v>
      </c>
      <c r="K50" s="64">
        <f t="shared" si="14"/>
        <v>0</v>
      </c>
      <c r="L50" s="64">
        <f t="shared" si="14"/>
        <v>4757</v>
      </c>
      <c r="M50" s="65">
        <f t="shared" si="2"/>
        <v>664674</v>
      </c>
    </row>
    <row r="51" spans="1:13" ht="15">
      <c r="A51" s="39" t="s">
        <v>13</v>
      </c>
      <c r="B51" s="66"/>
      <c r="C51" s="66"/>
      <c r="D51" s="66"/>
      <c r="E51" s="66">
        <f>7089+3403+3630</f>
        <v>14122</v>
      </c>
      <c r="F51" s="66">
        <f>5697+59244</f>
        <v>64941</v>
      </c>
      <c r="G51" s="66"/>
      <c r="H51" s="66"/>
      <c r="I51" s="66"/>
      <c r="J51" s="66"/>
      <c r="K51" s="66"/>
      <c r="L51" s="110"/>
      <c r="M51" s="67">
        <f t="shared" si="2"/>
        <v>79063</v>
      </c>
    </row>
    <row r="52" spans="1:13" ht="15">
      <c r="A52" s="39" t="s">
        <v>14</v>
      </c>
      <c r="B52" s="66"/>
      <c r="C52" s="66"/>
      <c r="D52" s="66"/>
      <c r="E52" s="66">
        <f>1232+460+895</f>
        <v>2587</v>
      </c>
      <c r="F52" s="66">
        <f>769+7997</f>
        <v>8766</v>
      </c>
      <c r="G52" s="66"/>
      <c r="H52" s="66"/>
      <c r="I52" s="66"/>
      <c r="J52" s="66"/>
      <c r="K52" s="66"/>
      <c r="L52" s="110"/>
      <c r="M52" s="67">
        <f t="shared" si="2"/>
        <v>11353</v>
      </c>
    </row>
    <row r="53" spans="1:13" ht="15">
      <c r="A53" s="39" t="s">
        <v>15</v>
      </c>
      <c r="B53" s="66"/>
      <c r="C53" s="66"/>
      <c r="D53" s="66">
        <v>4000</v>
      </c>
      <c r="E53" s="66">
        <v>874</v>
      </c>
      <c r="F53" s="66">
        <v>3240</v>
      </c>
      <c r="G53" s="66"/>
      <c r="H53" s="66"/>
      <c r="I53" s="66">
        <v>39527</v>
      </c>
      <c r="J53" s="66"/>
      <c r="K53" s="66"/>
      <c r="L53" s="110"/>
      <c r="M53" s="67">
        <f t="shared" si="2"/>
        <v>47641</v>
      </c>
    </row>
    <row r="54" spans="1:16" ht="15">
      <c r="A54" s="53" t="s">
        <v>68</v>
      </c>
      <c r="B54" s="105">
        <v>30000</v>
      </c>
      <c r="C54" s="105"/>
      <c r="D54" s="105">
        <v>8313</v>
      </c>
      <c r="E54" s="105"/>
      <c r="F54" s="105"/>
      <c r="G54" s="105">
        <v>10752</v>
      </c>
      <c r="H54" s="105"/>
      <c r="I54" s="105"/>
      <c r="J54" s="105"/>
      <c r="K54" s="105"/>
      <c r="L54" s="112">
        <v>4757</v>
      </c>
      <c r="M54" s="106">
        <f t="shared" si="2"/>
        <v>53822</v>
      </c>
      <c r="P54" s="1"/>
    </row>
    <row r="55" spans="1:13" ht="15">
      <c r="A55" s="39" t="s">
        <v>69</v>
      </c>
      <c r="B55" s="66"/>
      <c r="C55" s="66"/>
      <c r="D55" s="66">
        <v>1150</v>
      </c>
      <c r="E55" s="66"/>
      <c r="F55" s="66"/>
      <c r="G55" s="66"/>
      <c r="H55" s="66">
        <v>3000</v>
      </c>
      <c r="I55" s="66"/>
      <c r="J55" s="66"/>
      <c r="K55" s="66"/>
      <c r="L55" s="110"/>
      <c r="M55" s="67">
        <f t="shared" si="2"/>
        <v>4150</v>
      </c>
    </row>
    <row r="56" spans="1:13" ht="15">
      <c r="A56" s="39" t="s">
        <v>118</v>
      </c>
      <c r="B56" s="66">
        <v>200939</v>
      </c>
      <c r="C56" s="66">
        <v>267706</v>
      </c>
      <c r="D56" s="66"/>
      <c r="E56" s="66"/>
      <c r="F56" s="66"/>
      <c r="G56" s="66"/>
      <c r="H56" s="66"/>
      <c r="I56" s="66"/>
      <c r="J56" s="66"/>
      <c r="K56" s="66"/>
      <c r="L56" s="110"/>
      <c r="M56" s="67">
        <f t="shared" si="2"/>
        <v>468645</v>
      </c>
    </row>
    <row r="57" spans="1:15" ht="15">
      <c r="A57" s="59" t="s">
        <v>23</v>
      </c>
      <c r="B57" s="64">
        <f aca="true" t="shared" si="15" ref="B57:L57">SUM(B58:B61)</f>
        <v>0</v>
      </c>
      <c r="C57" s="64">
        <f>SUM(C58:C61)</f>
        <v>0</v>
      </c>
      <c r="D57" s="64">
        <f>SUM(D58:D61)</f>
        <v>0</v>
      </c>
      <c r="E57" s="64">
        <f t="shared" si="15"/>
        <v>0</v>
      </c>
      <c r="F57" s="64">
        <f t="shared" si="15"/>
        <v>12437</v>
      </c>
      <c r="G57" s="64">
        <f t="shared" si="15"/>
        <v>0</v>
      </c>
      <c r="H57" s="64">
        <f>SUM(H58:H61)</f>
        <v>0</v>
      </c>
      <c r="I57" s="64">
        <f t="shared" si="15"/>
        <v>593839</v>
      </c>
      <c r="J57" s="64">
        <f t="shared" si="15"/>
        <v>197</v>
      </c>
      <c r="K57" s="64">
        <f t="shared" si="15"/>
        <v>0</v>
      </c>
      <c r="L57" s="64">
        <f t="shared" si="15"/>
        <v>0</v>
      </c>
      <c r="M57" s="65">
        <f t="shared" si="2"/>
        <v>606473</v>
      </c>
      <c r="O57" s="1"/>
    </row>
    <row r="58" spans="1:13" ht="15">
      <c r="A58" s="16" t="s">
        <v>61</v>
      </c>
      <c r="B58" s="66"/>
      <c r="C58" s="66"/>
      <c r="D58" s="66"/>
      <c r="E58" s="66"/>
      <c r="F58" s="66">
        <v>12437</v>
      </c>
      <c r="G58" s="66"/>
      <c r="H58" s="66"/>
      <c r="I58" s="66">
        <v>593839</v>
      </c>
      <c r="J58" s="66">
        <v>197</v>
      </c>
      <c r="K58" s="66"/>
      <c r="L58" s="110"/>
      <c r="M58" s="67">
        <f t="shared" si="2"/>
        <v>606473</v>
      </c>
    </row>
    <row r="59" spans="1:13" ht="15">
      <c r="A59" s="16" t="s">
        <v>64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110"/>
      <c r="M59" s="67">
        <f t="shared" si="2"/>
        <v>0</v>
      </c>
    </row>
    <row r="60" spans="1:13" ht="15">
      <c r="A60" s="17" t="s">
        <v>74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110"/>
      <c r="M60" s="67">
        <f t="shared" si="2"/>
        <v>0</v>
      </c>
    </row>
    <row r="61" spans="1:13" ht="15">
      <c r="A61" s="17" t="s">
        <v>75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111"/>
      <c r="M61" s="69">
        <f t="shared" si="2"/>
        <v>0</v>
      </c>
    </row>
    <row r="62" spans="1:15" ht="15">
      <c r="A62" s="18" t="s">
        <v>66</v>
      </c>
      <c r="B62" s="64"/>
      <c r="C62" s="64"/>
      <c r="D62" s="64">
        <v>249</v>
      </c>
      <c r="E62" s="64"/>
      <c r="F62" s="64"/>
      <c r="G62" s="64"/>
      <c r="H62" s="64"/>
      <c r="I62" s="64"/>
      <c r="J62" s="64"/>
      <c r="K62" s="64"/>
      <c r="L62" s="109"/>
      <c r="M62" s="65">
        <f t="shared" si="2"/>
        <v>249</v>
      </c>
      <c r="O62" s="1"/>
    </row>
    <row r="63" spans="1:13" ht="15">
      <c r="A63" s="18" t="s">
        <v>67</v>
      </c>
      <c r="B63" s="64">
        <v>3798</v>
      </c>
      <c r="C63" s="64">
        <f>4910+1942</f>
        <v>6852</v>
      </c>
      <c r="D63" s="64">
        <f>22308</f>
        <v>22308</v>
      </c>
      <c r="E63" s="64"/>
      <c r="F63" s="64"/>
      <c r="G63" s="64">
        <v>1122</v>
      </c>
      <c r="H63" s="64"/>
      <c r="I63" s="64"/>
      <c r="J63" s="64"/>
      <c r="K63" s="64"/>
      <c r="L63" s="109">
        <v>395</v>
      </c>
      <c r="M63" s="65">
        <f t="shared" si="2"/>
        <v>34475</v>
      </c>
    </row>
    <row r="64" spans="1:13" ht="15">
      <c r="A64" s="75" t="s">
        <v>48</v>
      </c>
      <c r="B64" s="73">
        <f>B63+B62+B57+B50</f>
        <v>234737</v>
      </c>
      <c r="C64" s="73">
        <f>C63+C62+C57+C50</f>
        <v>274558</v>
      </c>
      <c r="D64" s="73">
        <f>D63+D62+D57+D50</f>
        <v>36020</v>
      </c>
      <c r="E64" s="73">
        <f aca="true" t="shared" si="16" ref="E64:L64">E63+E62+E57+E50</f>
        <v>17583</v>
      </c>
      <c r="F64" s="73">
        <f t="shared" si="16"/>
        <v>89384</v>
      </c>
      <c r="G64" s="73">
        <f t="shared" si="16"/>
        <v>11874</v>
      </c>
      <c r="H64" s="73">
        <f>H63+H62+H57+H50</f>
        <v>3000</v>
      </c>
      <c r="I64" s="73">
        <f t="shared" si="16"/>
        <v>633366</v>
      </c>
      <c r="J64" s="73">
        <f t="shared" si="16"/>
        <v>197</v>
      </c>
      <c r="K64" s="73">
        <f t="shared" si="16"/>
        <v>0</v>
      </c>
      <c r="L64" s="73">
        <f t="shared" si="16"/>
        <v>5152</v>
      </c>
      <c r="M64" s="74">
        <f t="shared" si="2"/>
        <v>1305871</v>
      </c>
    </row>
    <row r="65" spans="1:13" ht="15">
      <c r="A65" s="63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110"/>
      <c r="M65" s="67">
        <f t="shared" si="2"/>
        <v>0</v>
      </c>
    </row>
    <row r="66" spans="1:13" ht="15.75" thickBot="1">
      <c r="A66" s="76" t="s">
        <v>49</v>
      </c>
      <c r="B66" s="77">
        <f aca="true" t="shared" si="17" ref="B66:L66">B49-B64</f>
        <v>0</v>
      </c>
      <c r="C66" s="77">
        <f>C49-C64</f>
        <v>0</v>
      </c>
      <c r="D66" s="77">
        <f>D49-D64</f>
        <v>-1178</v>
      </c>
      <c r="E66" s="77">
        <f>E49-E64</f>
        <v>6285</v>
      </c>
      <c r="F66" s="77">
        <f t="shared" si="17"/>
        <v>0</v>
      </c>
      <c r="G66" s="77">
        <f t="shared" si="17"/>
        <v>0</v>
      </c>
      <c r="H66" s="77">
        <f>H49-H64</f>
        <v>0</v>
      </c>
      <c r="I66" s="77">
        <f t="shared" si="17"/>
        <v>-6968</v>
      </c>
      <c r="J66" s="77">
        <f t="shared" si="17"/>
        <v>591</v>
      </c>
      <c r="K66" s="77">
        <f t="shared" si="17"/>
        <v>1270</v>
      </c>
      <c r="L66" s="77">
        <f t="shared" si="17"/>
        <v>0</v>
      </c>
      <c r="M66" s="78">
        <f t="shared" si="2"/>
        <v>0</v>
      </c>
    </row>
    <row r="68" ht="15">
      <c r="I68" s="1"/>
    </row>
  </sheetData>
  <sheetProtection/>
  <mergeCells count="14">
    <mergeCell ref="A3:A4"/>
    <mergeCell ref="L3:L4"/>
    <mergeCell ref="B2:J2"/>
    <mergeCell ref="M2:M4"/>
    <mergeCell ref="K3:K4"/>
    <mergeCell ref="B3:B4"/>
    <mergeCell ref="E3:E4"/>
    <mergeCell ref="F3:F4"/>
    <mergeCell ref="D3:D4"/>
    <mergeCell ref="I3:I4"/>
    <mergeCell ref="C3:C4"/>
    <mergeCell ref="H3:H4"/>
    <mergeCell ref="J3:J4"/>
    <mergeCell ref="G3:G4"/>
  </mergeCells>
  <printOptions/>
  <pageMargins left="0.7" right="0.7" top="0.75" bottom="0.75" header="0.3" footer="0.3"/>
  <pageSetup horizontalDpi="600" verticalDpi="600" orientation="landscape" paperSize="9" scale="46" r:id="rId2"/>
  <headerFooter>
    <oddHeader>&amp;L&amp;G&amp;C.../2016 (IV.26.) számú határozat
a Marcali Kistérségi Többcélú Társulás
2015. évi költségvetésének módosításáról</oddHeader>
    <oddFooter>&amp;C&amp;P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S43"/>
  <sheetViews>
    <sheetView zoomScaleSheetLayoutView="80" workbookViewId="0" topLeftCell="A1">
      <selection activeCell="G1" sqref="G1"/>
    </sheetView>
  </sheetViews>
  <sheetFormatPr defaultColWidth="9.140625" defaultRowHeight="15"/>
  <cols>
    <col min="1" max="1" width="42.421875" style="0" customWidth="1"/>
    <col min="2" max="9" width="14.00390625" style="0" customWidth="1"/>
    <col min="11" max="11" width="35.8515625" style="0" customWidth="1"/>
    <col min="12" max="12" width="17.00390625" style="0" customWidth="1"/>
    <col min="13" max="13" width="15.8515625" style="0" customWidth="1"/>
    <col min="14" max="14" width="17.00390625" style="0" customWidth="1"/>
    <col min="15" max="19" width="12.140625" style="0" customWidth="1"/>
  </cols>
  <sheetData>
    <row r="2" ht="15">
      <c r="A2" t="s">
        <v>167</v>
      </c>
    </row>
    <row r="3" spans="1:14" ht="15">
      <c r="A3" s="2" t="s">
        <v>168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0:14" ht="15.75" thickBot="1">
      <c r="J4" s="15"/>
      <c r="K4" s="15"/>
      <c r="L4" s="15"/>
      <c r="M4" s="15"/>
      <c r="N4" s="15"/>
    </row>
    <row r="5" spans="1:19" ht="25.5" customHeight="1">
      <c r="A5" s="163" t="s">
        <v>169</v>
      </c>
      <c r="B5" s="232" t="s">
        <v>170</v>
      </c>
      <c r="C5" s="233"/>
      <c r="D5" s="233"/>
      <c r="E5" s="234"/>
      <c r="F5" s="232" t="s">
        <v>195</v>
      </c>
      <c r="G5" s="233"/>
      <c r="H5" s="233"/>
      <c r="I5" s="234"/>
      <c r="J5" s="164"/>
      <c r="K5" s="165" t="s">
        <v>171</v>
      </c>
      <c r="L5" s="230" t="s">
        <v>170</v>
      </c>
      <c r="M5" s="230"/>
      <c r="N5" s="230"/>
      <c r="O5" s="231"/>
      <c r="P5" s="230" t="s">
        <v>195</v>
      </c>
      <c r="Q5" s="230"/>
      <c r="R5" s="230"/>
      <c r="S5" s="231"/>
    </row>
    <row r="6" spans="1:19" ht="38.25">
      <c r="A6" s="166"/>
      <c r="B6" s="167" t="s">
        <v>0</v>
      </c>
      <c r="C6" s="167" t="s">
        <v>172</v>
      </c>
      <c r="D6" s="167" t="s">
        <v>173</v>
      </c>
      <c r="E6" s="167" t="s">
        <v>103</v>
      </c>
      <c r="F6" s="167" t="s">
        <v>0</v>
      </c>
      <c r="G6" s="167" t="s">
        <v>172</v>
      </c>
      <c r="H6" s="167" t="s">
        <v>173</v>
      </c>
      <c r="I6" s="167" t="s">
        <v>103</v>
      </c>
      <c r="J6" s="168"/>
      <c r="K6" s="169"/>
      <c r="L6" s="170" t="s">
        <v>0</v>
      </c>
      <c r="M6" s="167" t="s">
        <v>172</v>
      </c>
      <c r="N6" s="170" t="s">
        <v>173</v>
      </c>
      <c r="O6" s="171" t="s">
        <v>174</v>
      </c>
      <c r="P6" s="170" t="s">
        <v>0</v>
      </c>
      <c r="Q6" s="167" t="s">
        <v>172</v>
      </c>
      <c r="R6" s="170" t="s">
        <v>173</v>
      </c>
      <c r="S6" s="171" t="s">
        <v>174</v>
      </c>
    </row>
    <row r="7" spans="1:19" ht="15">
      <c r="A7" s="9" t="s">
        <v>175</v>
      </c>
      <c r="B7" s="4">
        <f>'1.sz.Bevételi források'!D5</f>
        <v>45895</v>
      </c>
      <c r="C7" s="4">
        <f aca="true" t="shared" si="0" ref="C7:C12">B7-D7</f>
        <v>44400</v>
      </c>
      <c r="D7" s="4">
        <v>1495</v>
      </c>
      <c r="E7" s="4"/>
      <c r="F7" s="4">
        <f>'1.sz.Bevételi források'!E5</f>
        <v>50445</v>
      </c>
      <c r="G7" s="4">
        <f>F7-H7</f>
        <v>48950</v>
      </c>
      <c r="H7" s="4">
        <v>1495</v>
      </c>
      <c r="I7" s="4"/>
      <c r="J7" s="172"/>
      <c r="K7" s="16" t="s">
        <v>176</v>
      </c>
      <c r="L7" s="4">
        <f>'2.szKiadás kiemelt jogcímenként'!D5</f>
        <v>148438</v>
      </c>
      <c r="M7" s="4">
        <f aca="true" t="shared" si="1" ref="M7:M12">L7-N7</f>
        <v>124119</v>
      </c>
      <c r="N7" s="4">
        <v>24319</v>
      </c>
      <c r="O7" s="173"/>
      <c r="P7" s="4">
        <f>'2.szKiadás kiemelt jogcímenként'!E5</f>
        <v>157387</v>
      </c>
      <c r="Q7" s="4">
        <f aca="true" t="shared" si="2" ref="Q7:Q12">P7-R7</f>
        <v>133068</v>
      </c>
      <c r="R7" s="4">
        <v>24319</v>
      </c>
      <c r="S7" s="173"/>
    </row>
    <row r="8" spans="1:19" ht="15">
      <c r="A8" s="9" t="s">
        <v>177</v>
      </c>
      <c r="B8" s="4">
        <f>'1.sz.Bevételi források'!D8</f>
        <v>61662</v>
      </c>
      <c r="C8" s="4">
        <f t="shared" si="0"/>
        <v>61662</v>
      </c>
      <c r="D8" s="4"/>
      <c r="E8" s="4"/>
      <c r="F8" s="4">
        <f>'1.sz.Bevételi források'!E8</f>
        <v>97069</v>
      </c>
      <c r="G8" s="4">
        <f>F8-H8</f>
        <v>97069</v>
      </c>
      <c r="H8" s="4"/>
      <c r="I8" s="4"/>
      <c r="J8" s="172"/>
      <c r="K8" s="16" t="s">
        <v>178</v>
      </c>
      <c r="L8" s="4">
        <f>'2.szKiadás kiemelt jogcímenként'!D6</f>
        <v>40398</v>
      </c>
      <c r="M8" s="4">
        <f t="shared" si="1"/>
        <v>34356</v>
      </c>
      <c r="N8" s="4">
        <v>6042</v>
      </c>
      <c r="O8" s="173"/>
      <c r="P8" s="4">
        <f>'2.szKiadás kiemelt jogcímenként'!E6</f>
        <v>40712</v>
      </c>
      <c r="Q8" s="4">
        <f t="shared" si="2"/>
        <v>34670</v>
      </c>
      <c r="R8" s="4">
        <v>6042</v>
      </c>
      <c r="S8" s="173"/>
    </row>
    <row r="9" spans="1:19" ht="15">
      <c r="A9" s="9" t="s">
        <v>179</v>
      </c>
      <c r="B9" s="4">
        <f>'1.sz.Bevételi források'!D16</f>
        <v>0</v>
      </c>
      <c r="C9" s="4">
        <f t="shared" si="0"/>
        <v>0</v>
      </c>
      <c r="D9" s="4"/>
      <c r="E9" s="4"/>
      <c r="F9" s="4">
        <f>'1.sz.Bevételi források'!E16</f>
        <v>0</v>
      </c>
      <c r="G9" s="4">
        <f>F9-H9</f>
        <v>0</v>
      </c>
      <c r="H9" s="4"/>
      <c r="I9" s="4"/>
      <c r="J9" s="172"/>
      <c r="K9" s="16" t="s">
        <v>180</v>
      </c>
      <c r="L9" s="4">
        <f>'2.szKiadás kiemelt jogcímenként'!D7</f>
        <v>113114</v>
      </c>
      <c r="M9" s="4">
        <f t="shared" si="1"/>
        <v>104840</v>
      </c>
      <c r="N9" s="4">
        <v>8274</v>
      </c>
      <c r="O9" s="173"/>
      <c r="P9" s="4">
        <f>'2.szKiadás kiemelt jogcímenként'!E7</f>
        <v>113491</v>
      </c>
      <c r="Q9" s="4">
        <f t="shared" si="2"/>
        <v>105217</v>
      </c>
      <c r="R9" s="4">
        <v>8274</v>
      </c>
      <c r="S9" s="173"/>
    </row>
    <row r="10" spans="1:19" ht="25.5">
      <c r="A10" s="9" t="s">
        <v>181</v>
      </c>
      <c r="B10" s="62">
        <f>170319+30620</f>
        <v>200939</v>
      </c>
      <c r="C10" s="4">
        <f t="shared" si="0"/>
        <v>163799</v>
      </c>
      <c r="D10" s="62">
        <v>37140</v>
      </c>
      <c r="E10" s="62"/>
      <c r="F10" s="62">
        <v>200939</v>
      </c>
      <c r="G10" s="4">
        <f>F10-H10</f>
        <v>163799</v>
      </c>
      <c r="H10" s="62">
        <v>37140</v>
      </c>
      <c r="I10" s="62"/>
      <c r="J10" s="172"/>
      <c r="K10" s="174" t="s">
        <v>182</v>
      </c>
      <c r="L10" s="4">
        <f>'2.szKiadás kiemelt jogcímenként'!D9</f>
        <v>0</v>
      </c>
      <c r="M10" s="4">
        <f t="shared" si="1"/>
        <v>0</v>
      </c>
      <c r="N10" s="4">
        <v>0</v>
      </c>
      <c r="O10" s="173"/>
      <c r="P10" s="4">
        <f>'2.szKiadás kiemelt jogcímenként'!E9</f>
        <v>30000</v>
      </c>
      <c r="Q10" s="4">
        <f t="shared" si="2"/>
        <v>30000</v>
      </c>
      <c r="R10" s="4">
        <v>0</v>
      </c>
      <c r="S10" s="173"/>
    </row>
    <row r="11" spans="1:19" ht="15">
      <c r="A11" s="9" t="s">
        <v>183</v>
      </c>
      <c r="B11" s="4">
        <f>'1.sz.Bevételi források'!D19</f>
        <v>0</v>
      </c>
      <c r="C11" s="4">
        <f t="shared" si="0"/>
        <v>0</v>
      </c>
      <c r="D11" s="4"/>
      <c r="E11" s="4"/>
      <c r="F11" s="4">
        <f>'1.sz.Bevételi források'!E19</f>
        <v>0</v>
      </c>
      <c r="G11" s="4">
        <f>F11-H11</f>
        <v>0</v>
      </c>
      <c r="H11" s="4"/>
      <c r="I11" s="4"/>
      <c r="J11" s="172"/>
      <c r="K11" s="16" t="s">
        <v>184</v>
      </c>
      <c r="L11" s="4">
        <f>'2.szKiadás kiemelt jogcímenként'!D10</f>
        <v>0</v>
      </c>
      <c r="M11" s="4">
        <f t="shared" si="1"/>
        <v>0</v>
      </c>
      <c r="N11" s="4">
        <v>0</v>
      </c>
      <c r="O11" s="173"/>
      <c r="P11" s="4">
        <f>'2.szKiadás kiemelt jogcímenként'!E10</f>
        <v>0</v>
      </c>
      <c r="Q11" s="4">
        <f t="shared" si="2"/>
        <v>0</v>
      </c>
      <c r="R11" s="4">
        <v>0</v>
      </c>
      <c r="S11" s="173"/>
    </row>
    <row r="12" spans="1:19" ht="15">
      <c r="A12" s="9"/>
      <c r="B12" s="4"/>
      <c r="C12" s="4">
        <f t="shared" si="0"/>
        <v>0</v>
      </c>
      <c r="D12" s="4"/>
      <c r="E12" s="4"/>
      <c r="F12" s="4"/>
      <c r="G12" s="4"/>
      <c r="H12" s="4"/>
      <c r="I12" s="4"/>
      <c r="J12" s="172"/>
      <c r="K12" s="16" t="s">
        <v>185</v>
      </c>
      <c r="L12" s="4">
        <f>'2.szKiadás kiemelt jogcímenként'!D11</f>
        <v>250</v>
      </c>
      <c r="M12" s="4">
        <f t="shared" si="1"/>
        <v>250</v>
      </c>
      <c r="N12" s="4">
        <v>0</v>
      </c>
      <c r="O12" s="173"/>
      <c r="P12" s="4">
        <f>'2.szKiadás kiemelt jogcímenként'!E11</f>
        <v>250</v>
      </c>
      <c r="Q12" s="4">
        <f t="shared" si="2"/>
        <v>250</v>
      </c>
      <c r="R12" s="4">
        <v>0</v>
      </c>
      <c r="S12" s="173"/>
    </row>
    <row r="13" spans="1:19" ht="15">
      <c r="A13" s="175" t="s">
        <v>17</v>
      </c>
      <c r="B13" s="176">
        <f aca="true" t="shared" si="3" ref="B13:I13">SUM(B7:B12)</f>
        <v>308496</v>
      </c>
      <c r="C13" s="176">
        <f t="shared" si="3"/>
        <v>269861</v>
      </c>
      <c r="D13" s="176">
        <f t="shared" si="3"/>
        <v>38635</v>
      </c>
      <c r="E13" s="176">
        <f t="shared" si="3"/>
        <v>0</v>
      </c>
      <c r="F13" s="176">
        <f t="shared" si="3"/>
        <v>348453</v>
      </c>
      <c r="G13" s="176">
        <f t="shared" si="3"/>
        <v>309818</v>
      </c>
      <c r="H13" s="176">
        <f t="shared" si="3"/>
        <v>38635</v>
      </c>
      <c r="I13" s="176">
        <f t="shared" si="3"/>
        <v>0</v>
      </c>
      <c r="J13" s="172"/>
      <c r="K13" s="177" t="s">
        <v>19</v>
      </c>
      <c r="L13" s="176">
        <f aca="true" t="shared" si="4" ref="L13:S13">SUM(L7:L12)</f>
        <v>302200</v>
      </c>
      <c r="M13" s="176">
        <f t="shared" si="4"/>
        <v>263565</v>
      </c>
      <c r="N13" s="176">
        <f t="shared" si="4"/>
        <v>38635</v>
      </c>
      <c r="O13" s="176">
        <f t="shared" si="4"/>
        <v>0</v>
      </c>
      <c r="P13" s="176">
        <f t="shared" si="4"/>
        <v>341840</v>
      </c>
      <c r="Q13" s="176">
        <f t="shared" si="4"/>
        <v>303205</v>
      </c>
      <c r="R13" s="176">
        <f t="shared" si="4"/>
        <v>38635</v>
      </c>
      <c r="S13" s="176">
        <f t="shared" si="4"/>
        <v>0</v>
      </c>
    </row>
    <row r="14" spans="1:19" ht="25.5">
      <c r="A14" s="9" t="s">
        <v>186</v>
      </c>
      <c r="B14" s="4">
        <f>'1.sz.Bevételi források'!D22</f>
        <v>0</v>
      </c>
      <c r="C14" s="4">
        <f>B14-D14</f>
        <v>0</v>
      </c>
      <c r="D14" s="4"/>
      <c r="E14" s="4"/>
      <c r="F14" s="4">
        <f>'1.sz.Bevételi források'!E22</f>
        <v>0</v>
      </c>
      <c r="G14" s="4">
        <f>F14-H14</f>
        <v>0</v>
      </c>
      <c r="H14" s="4"/>
      <c r="I14" s="4"/>
      <c r="J14" s="172"/>
      <c r="K14" s="178" t="s">
        <v>187</v>
      </c>
      <c r="L14" s="4">
        <f>'2.szKiadás kiemelt jogcímenként'!D18</f>
        <v>0</v>
      </c>
      <c r="M14" s="4">
        <f>L14-N14</f>
        <v>0</v>
      </c>
      <c r="N14" s="4"/>
      <c r="O14" s="173"/>
      <c r="P14" s="4">
        <f>'2.szKiadás kiemelt jogcímenként'!E18</f>
        <v>0</v>
      </c>
      <c r="Q14" s="4">
        <f>P14-R14</f>
        <v>0</v>
      </c>
      <c r="R14" s="4"/>
      <c r="S14" s="173"/>
    </row>
    <row r="15" spans="1:19" ht="15">
      <c r="A15" s="9" t="s">
        <v>188</v>
      </c>
      <c r="B15" s="4">
        <f>'1.sz.Bevételi források'!D30</f>
        <v>0</v>
      </c>
      <c r="C15" s="4">
        <f>B15-D15</f>
        <v>0</v>
      </c>
      <c r="D15" s="4"/>
      <c r="E15" s="4"/>
      <c r="F15" s="4">
        <f>'1.sz.Bevételi források'!E30</f>
        <v>0</v>
      </c>
      <c r="G15" s="4">
        <f>F15-H15</f>
        <v>0</v>
      </c>
      <c r="H15" s="4"/>
      <c r="I15" s="4"/>
      <c r="J15" s="172"/>
      <c r="K15" s="178" t="s">
        <v>189</v>
      </c>
      <c r="L15" s="4">
        <f>'2.szKiadás kiemelt jogcímenként'!D17</f>
        <v>0</v>
      </c>
      <c r="M15" s="4">
        <f>L15-N15</f>
        <v>0</v>
      </c>
      <c r="N15" s="4"/>
      <c r="O15" s="173"/>
      <c r="P15" s="4">
        <f>'2.szKiadás kiemelt jogcímenként'!E17</f>
        <v>0</v>
      </c>
      <c r="Q15" s="4">
        <f>P15-R15</f>
        <v>0</v>
      </c>
      <c r="R15" s="4"/>
      <c r="S15" s="173"/>
    </row>
    <row r="16" spans="1:19" ht="15">
      <c r="A16" s="9" t="s">
        <v>190</v>
      </c>
      <c r="B16" s="4">
        <f>'1.sz.Bevételi források'!D34</f>
        <v>0</v>
      </c>
      <c r="C16" s="4">
        <f>B16-D16</f>
        <v>0</v>
      </c>
      <c r="D16" s="4"/>
      <c r="E16" s="4"/>
      <c r="F16" s="4">
        <f>'1.sz.Bevételi források'!E34</f>
        <v>0</v>
      </c>
      <c r="G16" s="4">
        <f>F16-H16</f>
        <v>0</v>
      </c>
      <c r="H16" s="4"/>
      <c r="I16" s="4"/>
      <c r="J16" s="172"/>
      <c r="K16" s="178" t="s">
        <v>191</v>
      </c>
      <c r="L16" s="4">
        <f>'[3]2.szKiadás kiemelt jogcímenként'!C14</f>
        <v>4296</v>
      </c>
      <c r="M16" s="4">
        <f>L16-N16</f>
        <v>4296</v>
      </c>
      <c r="N16" s="4"/>
      <c r="O16" s="173"/>
      <c r="P16" s="4">
        <f>'2.szKiadás kiemelt jogcímenként'!E14</f>
        <v>5248</v>
      </c>
      <c r="Q16" s="4">
        <f>P16-R16</f>
        <v>5248</v>
      </c>
      <c r="R16" s="4"/>
      <c r="S16" s="173"/>
    </row>
    <row r="17" spans="1:19" ht="15">
      <c r="A17" s="9"/>
      <c r="B17" s="4"/>
      <c r="C17" s="4"/>
      <c r="D17" s="4"/>
      <c r="E17" s="4"/>
      <c r="F17" s="4"/>
      <c r="G17" s="4"/>
      <c r="H17" s="4"/>
      <c r="I17" s="4"/>
      <c r="J17" s="172"/>
      <c r="K17" s="178" t="s">
        <v>192</v>
      </c>
      <c r="L17" s="4">
        <f>'[3]2.szKiadás kiemelt jogcímenként'!C15</f>
        <v>2000</v>
      </c>
      <c r="M17" s="4">
        <f>L17-N17</f>
        <v>2000</v>
      </c>
      <c r="N17" s="4"/>
      <c r="O17" s="173"/>
      <c r="P17" s="4">
        <f>'2.szKiadás kiemelt jogcímenként'!E15</f>
        <v>2000</v>
      </c>
      <c r="Q17" s="4">
        <f>P17-R17</f>
        <v>2000</v>
      </c>
      <c r="R17" s="4"/>
      <c r="S17" s="173"/>
    </row>
    <row r="18" spans="1:19" ht="15">
      <c r="A18" s="175" t="s">
        <v>22</v>
      </c>
      <c r="B18" s="176">
        <f>SUM(B14:B17)</f>
        <v>0</v>
      </c>
      <c r="C18" s="176">
        <f>SUM(C14:C17)</f>
        <v>0</v>
      </c>
      <c r="D18" s="176">
        <f>SUM(D14:D17)</f>
        <v>0</v>
      </c>
      <c r="E18" s="176">
        <f>SUM(E14:E17)</f>
        <v>0</v>
      </c>
      <c r="F18" s="176"/>
      <c r="G18" s="176"/>
      <c r="H18" s="176"/>
      <c r="I18" s="176"/>
      <c r="J18" s="172"/>
      <c r="K18" s="177" t="s">
        <v>52</v>
      </c>
      <c r="L18" s="176">
        <f aca="true" t="shared" si="5" ref="L18:S18">SUM(L14:L17)</f>
        <v>6296</v>
      </c>
      <c r="M18" s="176">
        <f t="shared" si="5"/>
        <v>6296</v>
      </c>
      <c r="N18" s="176">
        <f t="shared" si="5"/>
        <v>0</v>
      </c>
      <c r="O18" s="176">
        <f t="shared" si="5"/>
        <v>0</v>
      </c>
      <c r="P18" s="176">
        <f t="shared" si="5"/>
        <v>7248</v>
      </c>
      <c r="Q18" s="176">
        <f t="shared" si="5"/>
        <v>7248</v>
      </c>
      <c r="R18" s="176">
        <f t="shared" si="5"/>
        <v>0</v>
      </c>
      <c r="S18" s="176">
        <f t="shared" si="5"/>
        <v>0</v>
      </c>
    </row>
    <row r="19" spans="1:19" ht="15">
      <c r="A19" s="9" t="s">
        <v>193</v>
      </c>
      <c r="B19" s="4">
        <f>'1.sz.Bevételi források'!D39</f>
        <v>0</v>
      </c>
      <c r="C19" s="179"/>
      <c r="D19" s="179"/>
      <c r="E19" s="179"/>
      <c r="F19" s="186">
        <f>'1.sz.Bevételi források'!E39</f>
        <v>635</v>
      </c>
      <c r="G19" s="179"/>
      <c r="H19" s="179"/>
      <c r="I19" s="179"/>
      <c r="J19" s="180"/>
      <c r="K19" s="181"/>
      <c r="L19" s="182"/>
      <c r="M19" s="182"/>
      <c r="N19" s="182"/>
      <c r="O19" s="182"/>
      <c r="P19" s="182"/>
      <c r="Q19" s="182"/>
      <c r="R19" s="182"/>
      <c r="S19" s="182"/>
    </row>
    <row r="20" spans="1:19" ht="15.75" thickBot="1">
      <c r="A20" s="42" t="s">
        <v>12</v>
      </c>
      <c r="B20" s="43">
        <f aca="true" t="shared" si="6" ref="B20:I20">SUM(B7:B18)-B13-B18+B19</f>
        <v>308496</v>
      </c>
      <c r="C20" s="43">
        <f t="shared" si="6"/>
        <v>269861</v>
      </c>
      <c r="D20" s="43">
        <f t="shared" si="6"/>
        <v>38635</v>
      </c>
      <c r="E20" s="43">
        <f t="shared" si="6"/>
        <v>0</v>
      </c>
      <c r="F20" s="43">
        <f t="shared" si="6"/>
        <v>349088</v>
      </c>
      <c r="G20" s="43">
        <f t="shared" si="6"/>
        <v>309818</v>
      </c>
      <c r="H20" s="43">
        <f t="shared" si="6"/>
        <v>38635</v>
      </c>
      <c r="I20" s="43">
        <f t="shared" si="6"/>
        <v>0</v>
      </c>
      <c r="J20" s="183"/>
      <c r="K20" s="45" t="s">
        <v>12</v>
      </c>
      <c r="L20" s="43">
        <f aca="true" t="shared" si="7" ref="L20:S20">SUM(L7:L18)-L13-L18</f>
        <v>308496</v>
      </c>
      <c r="M20" s="43">
        <f t="shared" si="7"/>
        <v>269861</v>
      </c>
      <c r="N20" s="43">
        <f t="shared" si="7"/>
        <v>38635</v>
      </c>
      <c r="O20" s="43">
        <f t="shared" si="7"/>
        <v>0</v>
      </c>
      <c r="P20" s="43">
        <f t="shared" si="7"/>
        <v>349088</v>
      </c>
      <c r="Q20" s="43">
        <f t="shared" si="7"/>
        <v>310453</v>
      </c>
      <c r="R20" s="43">
        <f t="shared" si="7"/>
        <v>38635</v>
      </c>
      <c r="S20" s="43">
        <f t="shared" si="7"/>
        <v>0</v>
      </c>
    </row>
    <row r="22" ht="15">
      <c r="L22" s="1"/>
    </row>
    <row r="23" spans="1:14" ht="15">
      <c r="A23" s="2" t="s">
        <v>194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0:14" ht="15.75" thickBot="1">
      <c r="J24" s="15"/>
      <c r="K24" s="15"/>
      <c r="L24" s="15"/>
      <c r="M24" s="15"/>
      <c r="N24" s="15"/>
    </row>
    <row r="25" spans="1:19" ht="15" customHeight="1">
      <c r="A25" s="163" t="s">
        <v>169</v>
      </c>
      <c r="B25" s="232" t="s">
        <v>170</v>
      </c>
      <c r="C25" s="233"/>
      <c r="D25" s="233"/>
      <c r="E25" s="234"/>
      <c r="F25" s="232" t="s">
        <v>195</v>
      </c>
      <c r="G25" s="233"/>
      <c r="H25" s="233"/>
      <c r="I25" s="234"/>
      <c r="J25" s="164"/>
      <c r="K25" s="55" t="s">
        <v>171</v>
      </c>
      <c r="L25" s="230" t="s">
        <v>170</v>
      </c>
      <c r="M25" s="230"/>
      <c r="N25" s="230"/>
      <c r="O25" s="231"/>
      <c r="P25" s="230" t="s">
        <v>195</v>
      </c>
      <c r="Q25" s="230"/>
      <c r="R25" s="230"/>
      <c r="S25" s="231"/>
    </row>
    <row r="26" spans="1:19" ht="38.25">
      <c r="A26" s="166"/>
      <c r="B26" s="167" t="s">
        <v>0</v>
      </c>
      <c r="C26" s="167" t="s">
        <v>172</v>
      </c>
      <c r="D26" s="167" t="s">
        <v>173</v>
      </c>
      <c r="E26" s="167" t="s">
        <v>103</v>
      </c>
      <c r="F26" s="167" t="s">
        <v>0</v>
      </c>
      <c r="G26" s="167" t="s">
        <v>172</v>
      </c>
      <c r="H26" s="167" t="s">
        <v>173</v>
      </c>
      <c r="I26" s="167" t="s">
        <v>103</v>
      </c>
      <c r="J26" s="168"/>
      <c r="K26" s="184"/>
      <c r="L26" s="170" t="s">
        <v>0</v>
      </c>
      <c r="M26" s="167" t="s">
        <v>172</v>
      </c>
      <c r="N26" s="170" t="s">
        <v>173</v>
      </c>
      <c r="O26" s="171" t="s">
        <v>103</v>
      </c>
      <c r="P26" s="170" t="s">
        <v>0</v>
      </c>
      <c r="Q26" s="167" t="s">
        <v>172</v>
      </c>
      <c r="R26" s="170" t="s">
        <v>173</v>
      </c>
      <c r="S26" s="171" t="s">
        <v>174</v>
      </c>
    </row>
    <row r="27" spans="1:19" ht="15">
      <c r="A27" s="9" t="s">
        <v>175</v>
      </c>
      <c r="B27" s="4">
        <f>'1.sz.Bevételi források'!F5</f>
        <v>0</v>
      </c>
      <c r="C27" s="4">
        <f>B27</f>
        <v>0</v>
      </c>
      <c r="D27" s="4"/>
      <c r="E27" s="4"/>
      <c r="F27" s="4">
        <f>'1.sz.Bevételi források'!G5</f>
        <v>50</v>
      </c>
      <c r="G27" s="4">
        <f>F27</f>
        <v>50</v>
      </c>
      <c r="H27" s="4"/>
      <c r="I27" s="4"/>
      <c r="J27" s="172"/>
      <c r="K27" s="16" t="s">
        <v>176</v>
      </c>
      <c r="L27" s="4">
        <f>'2.szKiadás kiemelt jogcímenként'!F5</f>
        <v>183527</v>
      </c>
      <c r="M27" s="4">
        <f>L27</f>
        <v>183527</v>
      </c>
      <c r="N27" s="4"/>
      <c r="O27" s="173"/>
      <c r="P27" s="4">
        <f>'2.szKiadás kiemelt jogcímenként'!G5</f>
        <v>186297</v>
      </c>
      <c r="Q27" s="4">
        <f aca="true" t="shared" si="8" ref="Q27:Q32">P27</f>
        <v>186297</v>
      </c>
      <c r="R27" s="4"/>
      <c r="S27" s="173"/>
    </row>
    <row r="28" spans="1:19" ht="15">
      <c r="A28" s="9" t="s">
        <v>177</v>
      </c>
      <c r="B28" s="4">
        <f>'1.sz.Bevételi források'!F8</f>
        <v>0</v>
      </c>
      <c r="C28" s="4">
        <f aca="true" t="shared" si="9" ref="C28:C39">B28</f>
        <v>0</v>
      </c>
      <c r="D28" s="4"/>
      <c r="E28" s="4"/>
      <c r="F28" s="4">
        <f>'1.sz.Bevételi források'!G8</f>
        <v>1927</v>
      </c>
      <c r="G28" s="4">
        <f>F28</f>
        <v>1927</v>
      </c>
      <c r="H28" s="4"/>
      <c r="I28" s="4"/>
      <c r="J28" s="172"/>
      <c r="K28" s="16" t="s">
        <v>178</v>
      </c>
      <c r="L28" s="4">
        <f>'2.szKiadás kiemelt jogcímenként'!F6</f>
        <v>51408</v>
      </c>
      <c r="M28" s="4">
        <f aca="true" t="shared" si="10" ref="M28:M37">L28</f>
        <v>51408</v>
      </c>
      <c r="N28" s="4"/>
      <c r="O28" s="173"/>
      <c r="P28" s="4">
        <f>'2.szKiadás kiemelt jogcímenként'!G6</f>
        <v>51107</v>
      </c>
      <c r="Q28" s="4">
        <f t="shared" si="8"/>
        <v>51107</v>
      </c>
      <c r="R28" s="4"/>
      <c r="S28" s="173"/>
    </row>
    <row r="29" spans="1:19" ht="15">
      <c r="A29" s="9" t="s">
        <v>179</v>
      </c>
      <c r="B29" s="4">
        <f>'1.sz.Bevételi források'!F16</f>
        <v>0</v>
      </c>
      <c r="C29" s="4">
        <f t="shared" si="9"/>
        <v>0</v>
      </c>
      <c r="D29" s="4"/>
      <c r="E29" s="4"/>
      <c r="F29" s="4">
        <f>'1.sz.Bevételi források'!G16</f>
        <v>0</v>
      </c>
      <c r="G29" s="4">
        <f>F29</f>
        <v>0</v>
      </c>
      <c r="H29" s="4"/>
      <c r="I29" s="4"/>
      <c r="J29" s="172"/>
      <c r="K29" s="16" t="s">
        <v>180</v>
      </c>
      <c r="L29" s="4">
        <f>'2.szKiadás kiemelt jogcímenként'!F7</f>
        <v>30691</v>
      </c>
      <c r="M29" s="4">
        <f t="shared" si="10"/>
        <v>30691</v>
      </c>
      <c r="N29" s="4"/>
      <c r="O29" s="173"/>
      <c r="P29" s="4">
        <f>'2.szKiadás kiemelt jogcímenként'!G7</f>
        <v>34816</v>
      </c>
      <c r="Q29" s="4">
        <f t="shared" si="8"/>
        <v>34816</v>
      </c>
      <c r="R29" s="4"/>
      <c r="S29" s="173"/>
    </row>
    <row r="30" spans="1:19" ht="25.5">
      <c r="A30" s="9" t="s">
        <v>181</v>
      </c>
      <c r="B30" s="62">
        <f>268874-4007</f>
        <v>264867</v>
      </c>
      <c r="C30" s="4">
        <f t="shared" si="9"/>
        <v>264867</v>
      </c>
      <c r="D30" s="62"/>
      <c r="E30" s="62"/>
      <c r="F30" s="62">
        <f>264867+2839</f>
        <v>267706</v>
      </c>
      <c r="G30" s="4">
        <f>F30</f>
        <v>267706</v>
      </c>
      <c r="H30" s="62"/>
      <c r="I30" s="62"/>
      <c r="J30" s="172"/>
      <c r="K30" s="174" t="s">
        <v>182</v>
      </c>
      <c r="L30" s="4">
        <f>'2.szKiadás kiemelt jogcímenként'!F9</f>
        <v>0</v>
      </c>
      <c r="M30" s="4">
        <f t="shared" si="10"/>
        <v>0</v>
      </c>
      <c r="N30" s="4"/>
      <c r="O30" s="173"/>
      <c r="P30" s="4">
        <f>'2.szKiadás kiemelt jogcímenként'!G9</f>
        <v>0</v>
      </c>
      <c r="Q30" s="4">
        <f t="shared" si="8"/>
        <v>0</v>
      </c>
      <c r="R30" s="4"/>
      <c r="S30" s="173"/>
    </row>
    <row r="31" spans="1:19" ht="15">
      <c r="A31" s="9" t="s">
        <v>183</v>
      </c>
      <c r="B31" s="4">
        <f>'1.sz.Bevételi források'!F19</f>
        <v>0</v>
      </c>
      <c r="C31" s="4">
        <f t="shared" si="9"/>
        <v>0</v>
      </c>
      <c r="D31" s="4"/>
      <c r="E31" s="4"/>
      <c r="F31" s="4">
        <f>'1.sz.Bevételi források'!G19</f>
        <v>0</v>
      </c>
      <c r="G31" s="4">
        <f>F31</f>
        <v>0</v>
      </c>
      <c r="H31" s="4"/>
      <c r="I31" s="4"/>
      <c r="J31" s="172"/>
      <c r="K31" s="16" t="s">
        <v>184</v>
      </c>
      <c r="L31" s="4">
        <f>'2.szKiadás kiemelt jogcímenként'!F10</f>
        <v>0</v>
      </c>
      <c r="M31" s="4">
        <f t="shared" si="10"/>
        <v>0</v>
      </c>
      <c r="N31" s="4"/>
      <c r="O31" s="173"/>
      <c r="P31" s="4">
        <f>'2.szKiadás kiemelt jogcímenként'!G10</f>
        <v>0</v>
      </c>
      <c r="Q31" s="4">
        <f t="shared" si="8"/>
        <v>0</v>
      </c>
      <c r="R31" s="4"/>
      <c r="S31" s="173"/>
    </row>
    <row r="32" spans="1:19" ht="15">
      <c r="A32" s="9"/>
      <c r="B32" s="4"/>
      <c r="C32" s="4"/>
      <c r="D32" s="4"/>
      <c r="E32" s="4"/>
      <c r="F32" s="4"/>
      <c r="G32" s="4"/>
      <c r="H32" s="4"/>
      <c r="I32" s="4"/>
      <c r="J32" s="172"/>
      <c r="K32" s="16" t="s">
        <v>185</v>
      </c>
      <c r="L32" s="4">
        <f>'2.szKiadás kiemelt jogcímenként'!F11</f>
        <v>0</v>
      </c>
      <c r="M32" s="4">
        <f t="shared" si="10"/>
        <v>0</v>
      </c>
      <c r="N32" s="4"/>
      <c r="O32" s="173"/>
      <c r="P32" s="4">
        <f>'2.szKiadás kiemelt jogcímenként'!G11</f>
        <v>0</v>
      </c>
      <c r="Q32" s="4">
        <f t="shared" si="8"/>
        <v>0</v>
      </c>
      <c r="R32" s="4"/>
      <c r="S32" s="173"/>
    </row>
    <row r="33" spans="1:19" ht="15">
      <c r="A33" s="175" t="s">
        <v>17</v>
      </c>
      <c r="B33" s="176">
        <f aca="true" t="shared" si="11" ref="B33:I33">SUM(B27:B32)</f>
        <v>264867</v>
      </c>
      <c r="C33" s="176">
        <f t="shared" si="11"/>
        <v>264867</v>
      </c>
      <c r="D33" s="176">
        <f t="shared" si="11"/>
        <v>0</v>
      </c>
      <c r="E33" s="176">
        <f t="shared" si="11"/>
        <v>0</v>
      </c>
      <c r="F33" s="176">
        <f t="shared" si="11"/>
        <v>269683</v>
      </c>
      <c r="G33" s="176">
        <f t="shared" si="11"/>
        <v>269683</v>
      </c>
      <c r="H33" s="176">
        <f t="shared" si="11"/>
        <v>0</v>
      </c>
      <c r="I33" s="176">
        <f t="shared" si="11"/>
        <v>0</v>
      </c>
      <c r="J33" s="172"/>
      <c r="K33" s="177" t="s">
        <v>19</v>
      </c>
      <c r="L33" s="176">
        <f aca="true" t="shared" si="12" ref="L33:S33">SUM(L27:L32)</f>
        <v>265626</v>
      </c>
      <c r="M33" s="176">
        <f t="shared" si="12"/>
        <v>265626</v>
      </c>
      <c r="N33" s="176">
        <f t="shared" si="12"/>
        <v>0</v>
      </c>
      <c r="O33" s="176">
        <f t="shared" si="12"/>
        <v>0</v>
      </c>
      <c r="P33" s="176">
        <f t="shared" si="12"/>
        <v>272220</v>
      </c>
      <c r="Q33" s="176">
        <f t="shared" si="12"/>
        <v>272220</v>
      </c>
      <c r="R33" s="176">
        <f t="shared" si="12"/>
        <v>0</v>
      </c>
      <c r="S33" s="176">
        <f t="shared" si="12"/>
        <v>0</v>
      </c>
    </row>
    <row r="34" spans="1:19" ht="25.5">
      <c r="A34" s="9" t="s">
        <v>186</v>
      </c>
      <c r="B34" s="4">
        <f>'1.sz.Bevételi források'!F22</f>
        <v>0</v>
      </c>
      <c r="C34" s="4">
        <f t="shared" si="9"/>
        <v>0</v>
      </c>
      <c r="D34" s="4"/>
      <c r="E34" s="4"/>
      <c r="F34" s="4">
        <f>'1.sz.Bevételi források'!G22</f>
        <v>0</v>
      </c>
      <c r="G34" s="4">
        <f>F34</f>
        <v>0</v>
      </c>
      <c r="H34" s="4"/>
      <c r="I34" s="4"/>
      <c r="J34" s="172"/>
      <c r="K34" s="178" t="s">
        <v>187</v>
      </c>
      <c r="L34" s="4">
        <f>'2.szKiadás kiemelt jogcímenként'!F18</f>
        <v>0</v>
      </c>
      <c r="M34" s="4">
        <f t="shared" si="10"/>
        <v>0</v>
      </c>
      <c r="N34" s="4"/>
      <c r="O34" s="173"/>
      <c r="P34" s="189">
        <f>'2.szKiadás kiemelt jogcímenként'!G18</f>
        <v>0</v>
      </c>
      <c r="Q34" s="4">
        <f>P34</f>
        <v>0</v>
      </c>
      <c r="R34" s="188"/>
      <c r="S34" s="173"/>
    </row>
    <row r="35" spans="1:19" ht="15">
      <c r="A35" s="9" t="s">
        <v>188</v>
      </c>
      <c r="B35" s="4">
        <f>'1.sz.Bevételi források'!F30</f>
        <v>0</v>
      </c>
      <c r="C35" s="4">
        <f t="shared" si="9"/>
        <v>0</v>
      </c>
      <c r="D35" s="4"/>
      <c r="E35" s="4"/>
      <c r="F35" s="4">
        <f>'1.sz.Bevételi források'!G30</f>
        <v>0</v>
      </c>
      <c r="G35" s="4">
        <f>F35</f>
        <v>0</v>
      </c>
      <c r="H35" s="4"/>
      <c r="I35" s="4"/>
      <c r="J35" s="172"/>
      <c r="K35" s="178" t="s">
        <v>189</v>
      </c>
      <c r="L35" s="4">
        <f>'2.szKiadás kiemelt jogcímenként'!F17</f>
        <v>0</v>
      </c>
      <c r="M35" s="4">
        <f t="shared" si="10"/>
        <v>0</v>
      </c>
      <c r="N35" s="4"/>
      <c r="O35" s="173"/>
      <c r="P35" s="189">
        <f>'2.szKiadás kiemelt jogcímenként'!G17</f>
        <v>0</v>
      </c>
      <c r="Q35" s="4">
        <f>P35</f>
        <v>0</v>
      </c>
      <c r="R35" s="188"/>
      <c r="S35" s="173"/>
    </row>
    <row r="36" spans="1:19" ht="15">
      <c r="A36" s="9" t="s">
        <v>190</v>
      </c>
      <c r="B36" s="4">
        <f>'1.sz.Bevételi források'!F34</f>
        <v>0</v>
      </c>
      <c r="C36" s="4">
        <f t="shared" si="9"/>
        <v>0</v>
      </c>
      <c r="D36" s="4"/>
      <c r="E36" s="4"/>
      <c r="F36" s="4">
        <f>'1.sz.Bevételi források'!G34</f>
        <v>0</v>
      </c>
      <c r="G36" s="4">
        <f>F36</f>
        <v>0</v>
      </c>
      <c r="H36" s="4"/>
      <c r="I36" s="4"/>
      <c r="J36" s="172"/>
      <c r="K36" s="178" t="s">
        <v>191</v>
      </c>
      <c r="L36" s="4">
        <f>'2.szKiadás kiemelt jogcímenként'!F14</f>
        <v>0</v>
      </c>
      <c r="M36" s="4">
        <f t="shared" si="10"/>
        <v>0</v>
      </c>
      <c r="N36" s="4"/>
      <c r="O36" s="173"/>
      <c r="P36" s="189">
        <f>'2.szKiadás kiemelt jogcímenként'!G14</f>
        <v>0</v>
      </c>
      <c r="Q36" s="4">
        <f>P36</f>
        <v>0</v>
      </c>
      <c r="R36" s="188"/>
      <c r="S36" s="173"/>
    </row>
    <row r="37" spans="1:19" ht="15">
      <c r="A37" s="9"/>
      <c r="B37" s="4"/>
      <c r="C37" s="4"/>
      <c r="D37" s="4"/>
      <c r="E37" s="4"/>
      <c r="F37" s="4"/>
      <c r="G37" s="4"/>
      <c r="H37" s="4"/>
      <c r="I37" s="4"/>
      <c r="J37" s="172"/>
      <c r="K37" s="178" t="s">
        <v>192</v>
      </c>
      <c r="L37" s="4">
        <f>'2.szKiadás kiemelt jogcímenként'!F15</f>
        <v>0</v>
      </c>
      <c r="M37" s="4">
        <f t="shared" si="10"/>
        <v>0</v>
      </c>
      <c r="N37" s="4"/>
      <c r="O37" s="173"/>
      <c r="P37" s="189">
        <f>'2.szKiadás kiemelt jogcímenként'!G15</f>
        <v>0</v>
      </c>
      <c r="Q37" s="4">
        <f>P37</f>
        <v>0</v>
      </c>
      <c r="R37" s="188"/>
      <c r="S37" s="173"/>
    </row>
    <row r="38" spans="1:19" ht="15">
      <c r="A38" s="175" t="s">
        <v>22</v>
      </c>
      <c r="B38" s="176">
        <f aca="true" t="shared" si="13" ref="B38:I38">SUM(B34:B37)</f>
        <v>0</v>
      </c>
      <c r="C38" s="176">
        <f t="shared" si="13"/>
        <v>0</v>
      </c>
      <c r="D38" s="176">
        <f t="shared" si="13"/>
        <v>0</v>
      </c>
      <c r="E38" s="176">
        <f t="shared" si="13"/>
        <v>0</v>
      </c>
      <c r="F38" s="176">
        <f t="shared" si="13"/>
        <v>0</v>
      </c>
      <c r="G38" s="176">
        <f t="shared" si="13"/>
        <v>0</v>
      </c>
      <c r="H38" s="176">
        <f t="shared" si="13"/>
        <v>0</v>
      </c>
      <c r="I38" s="176">
        <f t="shared" si="13"/>
        <v>0</v>
      </c>
      <c r="J38" s="172"/>
      <c r="K38" s="177" t="s">
        <v>52</v>
      </c>
      <c r="L38" s="176">
        <f aca="true" t="shared" si="14" ref="L38:S38">SUM(L34:L37)</f>
        <v>0</v>
      </c>
      <c r="M38" s="176">
        <f t="shared" si="14"/>
        <v>0</v>
      </c>
      <c r="N38" s="176">
        <f t="shared" si="14"/>
        <v>0</v>
      </c>
      <c r="O38" s="176">
        <f t="shared" si="14"/>
        <v>0</v>
      </c>
      <c r="P38" s="176">
        <f t="shared" si="14"/>
        <v>0</v>
      </c>
      <c r="Q38" s="176">
        <f t="shared" si="14"/>
        <v>0</v>
      </c>
      <c r="R38" s="176">
        <f t="shared" si="14"/>
        <v>0</v>
      </c>
      <c r="S38" s="176">
        <f t="shared" si="14"/>
        <v>0</v>
      </c>
    </row>
    <row r="39" spans="1:19" ht="15">
      <c r="A39" s="9" t="s">
        <v>193</v>
      </c>
      <c r="B39" s="4">
        <f>'1.sz.Bevételi források'!F39</f>
        <v>759</v>
      </c>
      <c r="C39" s="4">
        <f t="shared" si="9"/>
        <v>759</v>
      </c>
      <c r="D39" s="4"/>
      <c r="E39" s="4"/>
      <c r="F39" s="4">
        <f>'1.sz.Bevételi források'!G39</f>
        <v>2537</v>
      </c>
      <c r="G39" s="4">
        <f>F39</f>
        <v>2537</v>
      </c>
      <c r="H39" s="4"/>
      <c r="I39" s="4"/>
      <c r="J39" s="172"/>
      <c r="K39" s="185"/>
      <c r="L39" s="186"/>
      <c r="M39" s="186"/>
      <c r="N39" s="186"/>
      <c r="O39" s="187"/>
      <c r="P39" s="187"/>
      <c r="Q39" s="187"/>
      <c r="R39" s="187"/>
      <c r="S39" s="187"/>
    </row>
    <row r="40" spans="1:19" ht="15.75" thickBot="1">
      <c r="A40" s="42" t="s">
        <v>12</v>
      </c>
      <c r="B40" s="43">
        <f aca="true" t="shared" si="15" ref="B40:I40">SUM(B27:B39)-B33-B38</f>
        <v>265626</v>
      </c>
      <c r="C40" s="43">
        <f t="shared" si="15"/>
        <v>265626</v>
      </c>
      <c r="D40" s="43">
        <f t="shared" si="15"/>
        <v>0</v>
      </c>
      <c r="E40" s="43">
        <f t="shared" si="15"/>
        <v>0</v>
      </c>
      <c r="F40" s="43">
        <f t="shared" si="15"/>
        <v>272220</v>
      </c>
      <c r="G40" s="43">
        <f t="shared" si="15"/>
        <v>272220</v>
      </c>
      <c r="H40" s="43">
        <f t="shared" si="15"/>
        <v>0</v>
      </c>
      <c r="I40" s="43">
        <f t="shared" si="15"/>
        <v>0</v>
      </c>
      <c r="J40" s="183"/>
      <c r="K40" s="45" t="s">
        <v>12</v>
      </c>
      <c r="L40" s="43">
        <f aca="true" t="shared" si="16" ref="L40:S40">SUM(L27:L37)-L38-L33</f>
        <v>265626</v>
      </c>
      <c r="M40" s="43">
        <f t="shared" si="16"/>
        <v>265626</v>
      </c>
      <c r="N40" s="43">
        <f t="shared" si="16"/>
        <v>0</v>
      </c>
      <c r="O40" s="43">
        <f t="shared" si="16"/>
        <v>0</v>
      </c>
      <c r="P40" s="43">
        <f t="shared" si="16"/>
        <v>272220</v>
      </c>
      <c r="Q40" s="43">
        <f t="shared" si="16"/>
        <v>272220</v>
      </c>
      <c r="R40" s="43">
        <f t="shared" si="16"/>
        <v>0</v>
      </c>
      <c r="S40" s="43">
        <f t="shared" si="16"/>
        <v>0</v>
      </c>
    </row>
    <row r="42" ht="15">
      <c r="Q42" s="1">
        <f>Q40-G40</f>
        <v>0</v>
      </c>
    </row>
    <row r="43" ht="15">
      <c r="L43" s="1"/>
    </row>
  </sheetData>
  <sheetProtection/>
  <mergeCells count="8">
    <mergeCell ref="P5:S5"/>
    <mergeCell ref="P25:S25"/>
    <mergeCell ref="B5:E5"/>
    <mergeCell ref="L5:O5"/>
    <mergeCell ref="B25:E25"/>
    <mergeCell ref="L25:O25"/>
    <mergeCell ref="F5:I5"/>
    <mergeCell ref="F25:I25"/>
  </mergeCells>
  <printOptions/>
  <pageMargins left="0.7" right="0.7" top="0.75" bottom="0.75" header="0.3" footer="0.3"/>
  <pageSetup horizontalDpi="600" verticalDpi="600" orientation="landscape" paperSize="9" scale="63" r:id="rId2"/>
  <headerFooter>
    <oddHeader>&amp;L&amp;G&amp;C.../2016 (IV.26.) számú határozat
a Marcali Kistérségi Többcélú Társulás
2015. évi költségvetésének módosításáról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Bereczk Balázs</cp:lastModifiedBy>
  <cp:lastPrinted>2015-01-27T10:07:07Z</cp:lastPrinted>
  <dcterms:created xsi:type="dcterms:W3CDTF">2010-02-04T18:23:25Z</dcterms:created>
  <dcterms:modified xsi:type="dcterms:W3CDTF">2016-04-22T08:39:23Z</dcterms:modified>
  <cp:category/>
  <cp:version/>
  <cp:contentType/>
  <cp:contentStatus/>
</cp:coreProperties>
</file>